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S:\BRANKA\PLANOVI, REBALANSI I UPRAVNO VIJEĆE\2023.g\Rebalans u 11.2023.g. i izvanredna sjednica UV\NAJKONAČNO NA ZAHTJEV SDŽ ANITA NINČEVIĆ, MACA I PROČELNICA VICULIN 13.11.2023.G\ODLUKE\OBJAVA\"/>
    </mc:Choice>
  </mc:AlternateContent>
  <xr:revisionPtr revIDLastSave="0" documentId="13_ncr:1_{94BB992D-0EEB-4C2D-B2F0-196642A8EF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I19" i="3"/>
  <c r="I22" i="3"/>
  <c r="I62" i="3"/>
  <c r="I59" i="3"/>
  <c r="I58" i="3" s="1"/>
  <c r="G86" i="8" l="1"/>
  <c r="G87" i="8"/>
  <c r="G147" i="8"/>
  <c r="E147" i="8"/>
  <c r="G146" i="8"/>
  <c r="E146" i="8"/>
  <c r="F145" i="8"/>
  <c r="D145" i="8"/>
  <c r="D144" i="8" s="1"/>
  <c r="G143" i="8"/>
  <c r="E143" i="8"/>
  <c r="G142" i="8"/>
  <c r="E142" i="8"/>
  <c r="F141" i="8"/>
  <c r="D141" i="8"/>
  <c r="D140" i="8" s="1"/>
  <c r="G139" i="8"/>
  <c r="E139" i="8"/>
  <c r="E138" i="8" s="1"/>
  <c r="F138" i="8"/>
  <c r="D138" i="8"/>
  <c r="E137" i="8"/>
  <c r="G136" i="8"/>
  <c r="E136" i="8"/>
  <c r="G135" i="8"/>
  <c r="E135" i="8"/>
  <c r="F134" i="8"/>
  <c r="D134" i="8"/>
  <c r="G132" i="8"/>
  <c r="E132" i="8"/>
  <c r="G131" i="8"/>
  <c r="E131" i="8"/>
  <c r="F130" i="8"/>
  <c r="D130" i="8"/>
  <c r="G129" i="8"/>
  <c r="E129" i="8"/>
  <c r="G128" i="8"/>
  <c r="E128" i="8"/>
  <c r="F127" i="8"/>
  <c r="D127" i="8"/>
  <c r="E126" i="8"/>
  <c r="E125" i="8"/>
  <c r="F124" i="8"/>
  <c r="D124" i="8"/>
  <c r="G122" i="8"/>
  <c r="E122" i="8"/>
  <c r="E121" i="8"/>
  <c r="F120" i="8"/>
  <c r="D120" i="8"/>
  <c r="E119" i="8"/>
  <c r="G118" i="8"/>
  <c r="E118" i="8"/>
  <c r="F117" i="8"/>
  <c r="D117" i="8"/>
  <c r="G115" i="8"/>
  <c r="E115" i="8"/>
  <c r="G114" i="8"/>
  <c r="E114" i="8"/>
  <c r="F113" i="8"/>
  <c r="D113" i="8"/>
  <c r="D112" i="8" s="1"/>
  <c r="E111" i="8"/>
  <c r="E110" i="8" s="1"/>
  <c r="F110" i="8"/>
  <c r="D110" i="8"/>
  <c r="G109" i="8"/>
  <c r="E109" i="8"/>
  <c r="G108" i="8"/>
  <c r="E108" i="8"/>
  <c r="F107" i="8"/>
  <c r="D107" i="8"/>
  <c r="G106" i="8"/>
  <c r="E106" i="8"/>
  <c r="G105" i="8"/>
  <c r="E105" i="8"/>
  <c r="F104" i="8"/>
  <c r="D104" i="8"/>
  <c r="G103" i="8"/>
  <c r="E103" i="8"/>
  <c r="G102" i="8"/>
  <c r="E102" i="8"/>
  <c r="F101" i="8"/>
  <c r="D101" i="8"/>
  <c r="G99" i="8"/>
  <c r="E99" i="8"/>
  <c r="G98" i="8"/>
  <c r="E98" i="8"/>
  <c r="F97" i="8"/>
  <c r="D97" i="8"/>
  <c r="E96" i="8"/>
  <c r="E95" i="8"/>
  <c r="F94" i="8"/>
  <c r="D94" i="8"/>
  <c r="E93" i="8"/>
  <c r="G92" i="8"/>
  <c r="E92" i="8"/>
  <c r="G91" i="8"/>
  <c r="E91" i="8"/>
  <c r="G90" i="8"/>
  <c r="E90" i="8"/>
  <c r="F89" i="8"/>
  <c r="D89" i="8"/>
  <c r="G88" i="8"/>
  <c r="F85" i="8"/>
  <c r="E85" i="8"/>
  <c r="D85" i="8"/>
  <c r="G84" i="8"/>
  <c r="E84" i="8"/>
  <c r="G83" i="8"/>
  <c r="E83" i="8"/>
  <c r="F82" i="8"/>
  <c r="D82" i="8"/>
  <c r="E81" i="8"/>
  <c r="E80" i="8" s="1"/>
  <c r="F80" i="8"/>
  <c r="D80" i="8"/>
  <c r="G79" i="8"/>
  <c r="E79" i="8"/>
  <c r="E78" i="8" s="1"/>
  <c r="F78" i="8"/>
  <c r="D78" i="8"/>
  <c r="E76" i="8"/>
  <c r="E75" i="8" s="1"/>
  <c r="F75" i="8"/>
  <c r="G74" i="8"/>
  <c r="E74" i="8"/>
  <c r="G73" i="8"/>
  <c r="E73" i="8"/>
  <c r="G72" i="8"/>
  <c r="E72" i="8"/>
  <c r="F71" i="8"/>
  <c r="D71" i="8"/>
  <c r="E70" i="8"/>
  <c r="G69" i="8"/>
  <c r="E69" i="8"/>
  <c r="G68" i="8"/>
  <c r="E68" i="8"/>
  <c r="F67" i="8"/>
  <c r="D67" i="8"/>
  <c r="E66" i="8"/>
  <c r="E65" i="8"/>
  <c r="E64" i="8"/>
  <c r="F63" i="8"/>
  <c r="D63" i="8"/>
  <c r="E62" i="8"/>
  <c r="G61" i="8"/>
  <c r="E61" i="8"/>
  <c r="G60" i="8"/>
  <c r="E60" i="8"/>
  <c r="G59" i="8"/>
  <c r="E59" i="8"/>
  <c r="F58" i="8"/>
  <c r="D58" i="8"/>
  <c r="E57" i="8"/>
  <c r="E56" i="8" s="1"/>
  <c r="F56" i="8"/>
  <c r="D56" i="8"/>
  <c r="G55" i="8"/>
  <c r="E55" i="8"/>
  <c r="G54" i="8"/>
  <c r="E54" i="8"/>
  <c r="F53" i="8"/>
  <c r="D53" i="8"/>
  <c r="E49" i="8"/>
  <c r="F48" i="8"/>
  <c r="D48" i="8"/>
  <c r="G47" i="8"/>
  <c r="E47" i="8"/>
  <c r="G46" i="8"/>
  <c r="E46" i="8"/>
  <c r="F45" i="8"/>
  <c r="D45" i="8"/>
  <c r="G44" i="8"/>
  <c r="E44" i="8"/>
  <c r="F43" i="8"/>
  <c r="D43" i="8"/>
  <c r="G42" i="8"/>
  <c r="E42" i="8"/>
  <c r="F41" i="8"/>
  <c r="D41" i="8"/>
  <c r="G40" i="8"/>
  <c r="E40" i="8"/>
  <c r="F39" i="8"/>
  <c r="D39" i="8"/>
  <c r="G38" i="8"/>
  <c r="E38" i="8"/>
  <c r="F37" i="8"/>
  <c r="D37" i="8"/>
  <c r="G36" i="8"/>
  <c r="E36" i="8"/>
  <c r="G35" i="8"/>
  <c r="E35" i="8"/>
  <c r="G34" i="8"/>
  <c r="E34" i="8"/>
  <c r="G33" i="8"/>
  <c r="E33" i="8"/>
  <c r="F32" i="8"/>
  <c r="D32" i="8"/>
  <c r="G31" i="8"/>
  <c r="E31" i="8"/>
  <c r="F30" i="8"/>
  <c r="D30" i="8"/>
  <c r="G29" i="8"/>
  <c r="E29" i="8"/>
  <c r="F28" i="8"/>
  <c r="D28" i="8"/>
  <c r="G27" i="8"/>
  <c r="E27" i="8"/>
  <c r="F26" i="8"/>
  <c r="D26" i="8"/>
  <c r="G25" i="8"/>
  <c r="E25" i="8"/>
  <c r="F24" i="8"/>
  <c r="D24" i="8"/>
  <c r="G23" i="8"/>
  <c r="E23" i="8"/>
  <c r="F22" i="8"/>
  <c r="D22" i="8"/>
  <c r="G21" i="8"/>
  <c r="E21" i="8"/>
  <c r="G20" i="8"/>
  <c r="E20" i="8"/>
  <c r="G19" i="8"/>
  <c r="E19" i="8"/>
  <c r="G24" i="8" l="1"/>
  <c r="G28" i="8"/>
  <c r="G32" i="8"/>
  <c r="G48" i="8"/>
  <c r="E101" i="8"/>
  <c r="E107" i="8"/>
  <c r="E113" i="8"/>
  <c r="E112" i="8" s="1"/>
  <c r="E94" i="8"/>
  <c r="G67" i="8"/>
  <c r="E145" i="8"/>
  <c r="E144" i="8" s="1"/>
  <c r="G53" i="8"/>
  <c r="G141" i="8"/>
  <c r="E82" i="8"/>
  <c r="E63" i="8"/>
  <c r="G97" i="8"/>
  <c r="G104" i="8"/>
  <c r="E120" i="8"/>
  <c r="G138" i="8"/>
  <c r="D18" i="8"/>
  <c r="E89" i="8"/>
  <c r="G113" i="8"/>
  <c r="G117" i="8"/>
  <c r="G145" i="8"/>
  <c r="E58" i="8"/>
  <c r="E71" i="8"/>
  <c r="G82" i="8"/>
  <c r="E117" i="8"/>
  <c r="E127" i="8"/>
  <c r="G130" i="8"/>
  <c r="E134" i="8"/>
  <c r="E133" i="8" s="1"/>
  <c r="E141" i="8"/>
  <c r="E140" i="8" s="1"/>
  <c r="G37" i="8"/>
  <c r="G41" i="8"/>
  <c r="G45" i="8"/>
  <c r="F133" i="8"/>
  <c r="E22" i="8"/>
  <c r="E26" i="8"/>
  <c r="E30" i="8"/>
  <c r="G58" i="8"/>
  <c r="E53" i="8"/>
  <c r="F52" i="8"/>
  <c r="E67" i="8"/>
  <c r="G78" i="8"/>
  <c r="F77" i="8"/>
  <c r="G89" i="8"/>
  <c r="G101" i="8"/>
  <c r="G107" i="8"/>
  <c r="F112" i="8"/>
  <c r="G112" i="8" s="1"/>
  <c r="G120" i="8"/>
  <c r="F123" i="8"/>
  <c r="D133" i="8"/>
  <c r="G133" i="8" s="1"/>
  <c r="F140" i="8"/>
  <c r="G140" i="8" s="1"/>
  <c r="F144" i="8"/>
  <c r="G144" i="8" s="1"/>
  <c r="F116" i="8"/>
  <c r="E39" i="8"/>
  <c r="E43" i="8"/>
  <c r="D52" i="8"/>
  <c r="G52" i="8" s="1"/>
  <c r="G71" i="8"/>
  <c r="G85" i="8"/>
  <c r="E97" i="8"/>
  <c r="E104" i="8"/>
  <c r="E124" i="8"/>
  <c r="E130" i="8"/>
  <c r="F100" i="8"/>
  <c r="G22" i="8"/>
  <c r="E24" i="8"/>
  <c r="G26" i="8"/>
  <c r="E28" i="8"/>
  <c r="G30" i="8"/>
  <c r="E32" i="8"/>
  <c r="E37" i="8"/>
  <c r="G39" i="8"/>
  <c r="E41" i="8"/>
  <c r="G43" i="8"/>
  <c r="E45" i="8"/>
  <c r="E48" i="8"/>
  <c r="D123" i="8"/>
  <c r="G127" i="8"/>
  <c r="G134" i="8"/>
  <c r="F18" i="8"/>
  <c r="D100" i="8"/>
  <c r="D77" i="8"/>
  <c r="D116" i="8"/>
  <c r="E100" i="8" l="1"/>
  <c r="E52" i="8"/>
  <c r="E116" i="8"/>
  <c r="E77" i="8"/>
  <c r="G116" i="8"/>
  <c r="E123" i="8"/>
  <c r="F50" i="8"/>
  <c r="G123" i="8"/>
  <c r="D50" i="8"/>
  <c r="G77" i="8"/>
  <c r="G18" i="8"/>
  <c r="E18" i="8"/>
  <c r="G100" i="8"/>
  <c r="F51" i="8"/>
  <c r="D51" i="8"/>
  <c r="G50" i="8" l="1"/>
  <c r="E50" i="8"/>
  <c r="E51" i="8"/>
  <c r="G51" i="8"/>
  <c r="D11" i="5" l="1"/>
  <c r="D10" i="5" s="1"/>
  <c r="H65" i="3" l="1"/>
  <c r="G64" i="3"/>
  <c r="H53" i="3"/>
  <c r="I52" i="3"/>
  <c r="G52" i="3"/>
  <c r="I51" i="3"/>
  <c r="G51" i="3"/>
  <c r="I50" i="3"/>
  <c r="G50" i="3"/>
  <c r="I47" i="3"/>
  <c r="G47" i="3"/>
  <c r="I46" i="3"/>
  <c r="I45" i="3" s="1"/>
  <c r="G46" i="3"/>
  <c r="I44" i="3"/>
  <c r="G44" i="3"/>
  <c r="I43" i="3"/>
  <c r="G43" i="3"/>
  <c r="I42" i="3"/>
  <c r="G42" i="3"/>
  <c r="G41" i="3"/>
  <c r="I41" i="3"/>
  <c r="I40" i="3"/>
  <c r="I39" i="3" s="1"/>
  <c r="G40" i="3"/>
  <c r="H21" i="3"/>
  <c r="L17" i="1"/>
  <c r="L20" i="1"/>
  <c r="H9" i="6"/>
  <c r="H10" i="6"/>
  <c r="H11" i="6"/>
  <c r="H12" i="6"/>
  <c r="H13" i="6"/>
  <c r="H14" i="6"/>
  <c r="H8" i="6"/>
  <c r="F11" i="5"/>
  <c r="M22" i="1" l="1"/>
  <c r="M21" i="1"/>
  <c r="M19" i="1"/>
  <c r="M18" i="1"/>
  <c r="K22" i="1"/>
  <c r="K21" i="1"/>
  <c r="K19" i="1"/>
  <c r="K18" i="1"/>
  <c r="J60" i="3"/>
  <c r="J61" i="3"/>
  <c r="J63" i="3"/>
  <c r="J64" i="3"/>
  <c r="J66" i="3"/>
  <c r="J67" i="3"/>
  <c r="J68" i="3"/>
  <c r="J48" i="3"/>
  <c r="J49" i="3"/>
  <c r="J54" i="3"/>
  <c r="J56" i="3"/>
  <c r="J57" i="3"/>
  <c r="J32" i="3"/>
  <c r="J13" i="3"/>
  <c r="J14" i="3"/>
  <c r="J16" i="3"/>
  <c r="J18" i="3"/>
  <c r="J20" i="3"/>
  <c r="J23" i="3"/>
  <c r="J24" i="3"/>
  <c r="J25" i="3"/>
  <c r="J26" i="3"/>
  <c r="J27" i="3"/>
  <c r="J29" i="3"/>
  <c r="H60" i="3"/>
  <c r="H61" i="3"/>
  <c r="H63" i="3"/>
  <c r="H64" i="3"/>
  <c r="H66" i="3"/>
  <c r="H67" i="3"/>
  <c r="H68" i="3"/>
  <c r="H48" i="3"/>
  <c r="H49" i="3"/>
  <c r="H54" i="3"/>
  <c r="H56" i="3"/>
  <c r="H57" i="3"/>
  <c r="H32" i="3"/>
  <c r="H13" i="3"/>
  <c r="H14" i="3"/>
  <c r="H16" i="3"/>
  <c r="H18" i="3"/>
  <c r="H20" i="3"/>
  <c r="H23" i="3"/>
  <c r="H24" i="3"/>
  <c r="H25" i="3"/>
  <c r="H26" i="3"/>
  <c r="H27" i="3"/>
  <c r="H29" i="3"/>
  <c r="F44" i="3"/>
  <c r="I55" i="3"/>
  <c r="I38" i="3" s="1"/>
  <c r="I37" i="3" s="1"/>
  <c r="I31" i="3"/>
  <c r="I30" i="3" s="1"/>
  <c r="I28" i="3"/>
  <c r="I17" i="3"/>
  <c r="I15" i="3"/>
  <c r="I11" i="3" s="1"/>
  <c r="I10" i="3" s="1"/>
  <c r="J44" i="3" l="1"/>
  <c r="H44" i="3"/>
  <c r="G11" i="5" l="1"/>
  <c r="G12" i="5"/>
  <c r="E12" i="5"/>
  <c r="F10" i="5"/>
  <c r="G10" i="5" s="1"/>
  <c r="F64" i="3"/>
  <c r="F66" i="3"/>
  <c r="F67" i="3"/>
  <c r="F68" i="3"/>
  <c r="F63" i="3"/>
  <c r="F61" i="3"/>
  <c r="F60" i="3"/>
  <c r="F57" i="3"/>
  <c r="F56" i="3"/>
  <c r="F48" i="3"/>
  <c r="F49" i="3"/>
  <c r="F54" i="3"/>
  <c r="G59" i="3"/>
  <c r="G62" i="3"/>
  <c r="F32" i="3"/>
  <c r="F29" i="3"/>
  <c r="F24" i="3"/>
  <c r="F25" i="3"/>
  <c r="F26" i="3"/>
  <c r="F27" i="3"/>
  <c r="F23" i="3"/>
  <c r="F20" i="3"/>
  <c r="F18" i="3"/>
  <c r="F16" i="3"/>
  <c r="F14" i="3"/>
  <c r="F13" i="3"/>
  <c r="G22" i="3"/>
  <c r="I22" i="1"/>
  <c r="I21" i="1"/>
  <c r="I19" i="1"/>
  <c r="I18" i="1"/>
  <c r="E62" i="3"/>
  <c r="E22" i="3"/>
  <c r="E11" i="5" l="1"/>
  <c r="E10" i="5" s="1"/>
  <c r="J52" i="3"/>
  <c r="H52" i="3"/>
  <c r="J50" i="3"/>
  <c r="H50" i="3"/>
  <c r="H22" i="3"/>
  <c r="J22" i="3"/>
  <c r="J41" i="3"/>
  <c r="H41" i="3"/>
  <c r="J47" i="3"/>
  <c r="H47" i="3"/>
  <c r="H51" i="3"/>
  <c r="J51" i="3"/>
  <c r="H62" i="3"/>
  <c r="J62" i="3"/>
  <c r="H46" i="3"/>
  <c r="J46" i="3"/>
  <c r="H59" i="3"/>
  <c r="J59" i="3"/>
  <c r="J40" i="3"/>
  <c r="H40" i="3"/>
  <c r="H42" i="3"/>
  <c r="J42" i="3"/>
  <c r="H43" i="3"/>
  <c r="J43" i="3"/>
  <c r="F55" i="3"/>
  <c r="F22" i="3"/>
  <c r="F52" i="3"/>
  <c r="G58" i="3"/>
  <c r="G39" i="3"/>
  <c r="G45" i="3"/>
  <c r="G55" i="3"/>
  <c r="E55" i="3"/>
  <c r="F59" i="3"/>
  <c r="E59" i="3"/>
  <c r="F62" i="3"/>
  <c r="E47" i="3"/>
  <c r="E51" i="3"/>
  <c r="E46" i="3"/>
  <c r="E50" i="3"/>
  <c r="E43" i="3"/>
  <c r="E41" i="3"/>
  <c r="E40" i="3"/>
  <c r="E42" i="3"/>
  <c r="G12" i="3"/>
  <c r="F12" i="3"/>
  <c r="E12" i="3"/>
  <c r="F15" i="3"/>
  <c r="G15" i="3"/>
  <c r="E15" i="3"/>
  <c r="F31" i="3"/>
  <c r="F30" i="3" s="1"/>
  <c r="G31" i="3"/>
  <c r="G30" i="3" s="1"/>
  <c r="E31" i="3"/>
  <c r="F28" i="3"/>
  <c r="G28" i="3"/>
  <c r="E28" i="3"/>
  <c r="G19" i="3"/>
  <c r="F19" i="3"/>
  <c r="E19" i="3"/>
  <c r="F17" i="3"/>
  <c r="G17" i="3"/>
  <c r="E17" i="3"/>
  <c r="J20" i="1"/>
  <c r="I20" i="1"/>
  <c r="J17" i="1"/>
  <c r="I17" i="1"/>
  <c r="H20" i="1"/>
  <c r="H17" i="1"/>
  <c r="G11" i="3" l="1"/>
  <c r="G10" i="3" s="1"/>
  <c r="H31" i="3"/>
  <c r="J31" i="3"/>
  <c r="J58" i="3"/>
  <c r="H58" i="3"/>
  <c r="H15" i="3"/>
  <c r="J15" i="3"/>
  <c r="H12" i="3"/>
  <c r="J12" i="3"/>
  <c r="H19" i="3"/>
  <c r="J19" i="3"/>
  <c r="H17" i="3"/>
  <c r="J17" i="3"/>
  <c r="J55" i="3"/>
  <c r="H55" i="3"/>
  <c r="H28" i="3"/>
  <c r="J28" i="3"/>
  <c r="H45" i="3"/>
  <c r="J45" i="3"/>
  <c r="H39" i="3"/>
  <c r="J39" i="3"/>
  <c r="K20" i="1"/>
  <c r="M20" i="1"/>
  <c r="M17" i="1"/>
  <c r="K17" i="1"/>
  <c r="I23" i="1"/>
  <c r="F50" i="3"/>
  <c r="F42" i="3"/>
  <c r="F46" i="3"/>
  <c r="G38" i="3"/>
  <c r="F51" i="3"/>
  <c r="F41" i="3"/>
  <c r="E30" i="3"/>
  <c r="F43" i="3"/>
  <c r="F58" i="3"/>
  <c r="F47" i="3"/>
  <c r="F40" i="3"/>
  <c r="E58" i="3"/>
  <c r="J23" i="1"/>
  <c r="I38" i="1"/>
  <c r="E39" i="3"/>
  <c r="E45" i="3"/>
  <c r="E11" i="3"/>
  <c r="F11" i="3"/>
  <c r="H38" i="3" l="1"/>
  <c r="J38" i="3"/>
  <c r="H30" i="3"/>
  <c r="J30" i="3"/>
  <c r="H11" i="3"/>
  <c r="J11" i="3"/>
  <c r="K23" i="1"/>
  <c r="M23" i="1"/>
  <c r="F45" i="3"/>
  <c r="E10" i="3"/>
  <c r="F39" i="3"/>
  <c r="I37" i="1"/>
  <c r="J37" i="1" s="1"/>
  <c r="M37" i="1" s="1"/>
  <c r="J38" i="1"/>
  <c r="M38" i="1" s="1"/>
  <c r="F10" i="3"/>
  <c r="E38" i="3"/>
  <c r="G37" i="3"/>
  <c r="H37" i="3" l="1"/>
  <c r="J37" i="3"/>
  <c r="H10" i="3"/>
  <c r="J10" i="3"/>
  <c r="F38" i="3"/>
  <c r="F37" i="3" s="1"/>
  <c r="E37" i="3"/>
</calcChain>
</file>

<file path=xl/sharedStrings.xml><?xml version="1.0" encoding="utf-8"?>
<sst xmlns="http://schemas.openxmlformats.org/spreadsheetml/2006/main" count="437" uniqueCount="160">
  <si>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</si>
  <si>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</si>
  <si>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</si>
  <si>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</si>
  <si>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</si>
  <si>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</si>
  <si>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</si>
  <si>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</si>
  <si>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</si>
  <si>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</si>
  <si>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</si>
  <si>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</si>
  <si>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</si>
  <si>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</si>
  <si>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</si>
  <si>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</si>
  <si>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</si>
  <si>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</si>
  <si>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</si>
  <si>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</si>
  <si>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</si>
  <si>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</si>
  <si>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</si>
  <si>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</si>
  <si>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</si>
  <si>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</si>
  <si>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</si>
  <si>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</si>
  <si>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</si>
  <si>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</si>
  <si>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</si>
  <si>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</si>
  <si>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</si>
  <si>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</si>
  <si>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</si>
  <si>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</si>
  <si>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</si>
  <si>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</si>
  <si>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</si>
  <si>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</si>
  <si>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</si>
  <si>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</si>
  <si>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</si>
  <si>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</si>
  <si>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</si>
  <si>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Plan za 2023.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</si>
  <si>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</si>
  <si>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</si>
  <si>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</si>
  <si>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</si>
  <si>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</si>
  <si>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</si>
  <si>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Prihodi o imovine</t>
  </si>
  <si>
    <t>Prihodi za posebne namjene</t>
  </si>
  <si>
    <t>072 Službe za vanjske pacijente</t>
  </si>
  <si>
    <t>07 Zdravstvo</t>
  </si>
  <si>
    <t>Pomoći EU za PK</t>
  </si>
  <si>
    <t>Prihodi od prodaje proizvoda i robe te pruženih usluga, prihodi od donacija te povrati po protestiranim jamstvima</t>
  </si>
  <si>
    <t>Prihodi od upravnih i administrativnih pristojbi, pristojbi po posebnim propisima i naknadama</t>
  </si>
  <si>
    <t>Prihodi za posebne namjene-Decentralizacija</t>
  </si>
  <si>
    <t>4.3.1.</t>
  </si>
  <si>
    <t>Kazne, upravne mjere i ostali prihodi</t>
  </si>
  <si>
    <t>UKUPNO PRIHODI</t>
  </si>
  <si>
    <t>Prihodi za posebne namjene-HZZO</t>
  </si>
  <si>
    <t>UKUPNO RASHODI</t>
  </si>
  <si>
    <t>Pomoći PK</t>
  </si>
  <si>
    <t>Financijski rashodi</t>
  </si>
  <si>
    <t>3/1</t>
  </si>
  <si>
    <t>UPRAVNO VIJEĆE</t>
  </si>
  <si>
    <t>Na temelju članka 23. Statuta Zavoda za hitnu medicinu Splitsko-dalmatinske županije Upravno vijeće Zavoda na svojoj</t>
  </si>
  <si>
    <t xml:space="preserve">UKUPNO PRIHODI / PRIMICI	</t>
  </si>
  <si>
    <t>Razdjel 003 UPRAVNI ODJEL ZA ZDRAVSTVO, SOCIJALNU SKRB I DEMOGRAFIJU</t>
  </si>
  <si>
    <t>Glava 00302 USTANOVE U ZDRAVSTVU</t>
  </si>
  <si>
    <t>37531 Zavod za hitnu medicinu Splitsko-dalmatinske županije</t>
  </si>
  <si>
    <t>Izvor 1.1.1 Opći prihodi i primici</t>
  </si>
  <si>
    <t>Izvor 4.4.1 Prihodi za posebne namjene-Decentralizacija</t>
  </si>
  <si>
    <t>Izvor 4.3.1 Prihodi za posebne namjene</t>
  </si>
  <si>
    <t>Izvor 3.2.1 Vlastiti prihodi PK</t>
  </si>
  <si>
    <t>63</t>
  </si>
  <si>
    <t>64</t>
  </si>
  <si>
    <t>Prihodi od imovine</t>
  </si>
  <si>
    <t>66</t>
  </si>
  <si>
    <t>Prihodi od prodaje proizvoda i robe te pruženih usluga, prihodi od donacija i povrati po protestira</t>
  </si>
  <si>
    <t>68</t>
  </si>
  <si>
    <t>Izvor 4.8.1 Prihodi za posebne namjene PK</t>
  </si>
  <si>
    <t>67</t>
  </si>
  <si>
    <t>Izvor 5.4.1 Pomoći PK</t>
  </si>
  <si>
    <t>Izvor 5.5.1      Pomoći EU za PK</t>
  </si>
  <si>
    <t>Izvor 6.2.1 Donacije PK</t>
  </si>
  <si>
    <t>Izvor 7.2.1 Prihodi od prodaje nefinancijske imovine PK</t>
  </si>
  <si>
    <t>65</t>
  </si>
  <si>
    <t>Prihodi od upravnih i administrativnih pristojbi, pristojbi po posebnim propisima i naknada</t>
  </si>
  <si>
    <t>72</t>
  </si>
  <si>
    <t xml:space="preserve">UKUPNO RASHODI / IZDACI	</t>
  </si>
  <si>
    <t>Program 3020 Zdravstvo</t>
  </si>
  <si>
    <t>Aktivnost A302001 Rashodi djelatnosti</t>
  </si>
  <si>
    <t>31</t>
  </si>
  <si>
    <t>32</t>
  </si>
  <si>
    <t>Izvor 1.1.2 Opći prihodi i primici - prenesena sredstva</t>
  </si>
  <si>
    <t>34</t>
  </si>
  <si>
    <t>38</t>
  </si>
  <si>
    <t>Ostali rashodi</t>
  </si>
  <si>
    <t>Izvor 3.2.2 Vlastiti prihodi PK - prenesena sredstva</t>
  </si>
  <si>
    <t>Aktivnost A302002 Izgradnja i uređenje objekata te nabava i održavanje opreme</t>
  </si>
  <si>
    <t>42</t>
  </si>
  <si>
    <t>41</t>
  </si>
  <si>
    <t>45</t>
  </si>
  <si>
    <t>Rashodi za dodatna ulaganja na nefinancijskoj imovini</t>
  </si>
  <si>
    <t>Aktivnost A302007 Dodatni timovi HMP u turističkoj sezoni</t>
  </si>
  <si>
    <t>Aktivnost A302008 Dodatni timovi HMP prilikom zaštite od požara</t>
  </si>
  <si>
    <t>Kapitalni projekt K302001 Defibrilatori na javnim mjestima</t>
  </si>
  <si>
    <t>Tekući projekt T302001 ULJP - Specijalističko usavršavanje</t>
  </si>
  <si>
    <t>Tekući projekt T302003 COVID-19</t>
  </si>
  <si>
    <t>Promjena</t>
  </si>
  <si>
    <t>Novi plan za 2023.g.</t>
  </si>
  <si>
    <t>4.3.2.</t>
  </si>
  <si>
    <t>Prihodi za posebne namjene-prenesena sredstva</t>
  </si>
  <si>
    <t>%</t>
  </si>
  <si>
    <t>Izvor 4.3.2 Prihodi za posebne namjene-prenesena sredstva</t>
  </si>
  <si>
    <t>Izvor 5.5.1 Pomoći EU za PK</t>
  </si>
  <si>
    <t>Tekući projekt T302013 - NPOO-Centralno financiranje specijalizacija doktora medicine</t>
  </si>
  <si>
    <t>Tekući projekt T302012 - NPOO-Specijelističko usavršavanje med.sestara i tehničara</t>
  </si>
  <si>
    <t>Predsjednica Upravnog vijeća:</t>
  </si>
  <si>
    <t>Anita Bikić, mag.med.techn.</t>
  </si>
  <si>
    <t>6.2.</t>
  </si>
  <si>
    <t>Donacije</t>
  </si>
  <si>
    <t>Split, 21. prosinca 2023.g.</t>
  </si>
  <si>
    <t>Klasa: 003-06/23-01/14</t>
  </si>
  <si>
    <t xml:space="preserve">16. redovnoj sjednici održanoj dana 21. prosinca 2023. godine donijelo je </t>
  </si>
  <si>
    <t>5.4.</t>
  </si>
  <si>
    <t>5.5.</t>
  </si>
  <si>
    <t>3.2.</t>
  </si>
  <si>
    <t>7.2.</t>
  </si>
  <si>
    <t>REBALANS FINANCIJSKOG PLANA ZAVODA ZA HITNU MEDICINU SPLITSKO-DALMATINSKE ŽUPANIJE 
ZA 2023. BROJ 3</t>
  </si>
  <si>
    <t>PRIJEDLOG REBALANSA FINANCIJSKOG PLANA ZAVODA ZA HITNU MEDICINU SPLITSKO-DALMATINSKE ŽUPANIJE 
ZA 2023. BROJ 3</t>
  </si>
  <si>
    <t>Ur.broj: 2181-148-01-06-23-2</t>
  </si>
  <si>
    <t>II. POSEBNI DIO</t>
  </si>
  <si>
    <t>ŠIFRA I NAZIV</t>
  </si>
  <si>
    <t>PLAN 2023.</t>
  </si>
  <si>
    <t xml:space="preserve">PROMJENA </t>
  </si>
  <si>
    <t>NOVI PLAN ZA 2023.</t>
  </si>
  <si>
    <t xml:space="preserve">INDEKS </t>
  </si>
  <si>
    <t>Rezultat poslovanja</t>
  </si>
  <si>
    <t>1.1.1</t>
  </si>
  <si>
    <t>1.1.2</t>
  </si>
  <si>
    <t>3.2.1</t>
  </si>
  <si>
    <t>3.2.2</t>
  </si>
  <si>
    <t>4.8.1</t>
  </si>
  <si>
    <t>5.4.1</t>
  </si>
  <si>
    <t>6.2.1</t>
  </si>
  <si>
    <t>4.4.1</t>
  </si>
  <si>
    <t>7.2.1</t>
  </si>
  <si>
    <t>Izvor 6.2.1 Donacije</t>
  </si>
  <si>
    <t>4.3.1</t>
  </si>
  <si>
    <t>4.3.2</t>
  </si>
  <si>
    <t>5.5.1</t>
  </si>
  <si>
    <t>1.1.</t>
  </si>
  <si>
    <t>4.4.</t>
  </si>
  <si>
    <t>4.3.</t>
  </si>
  <si>
    <t>4.8.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</si>
</sst>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[$€-1]"/>
    <numFmt numFmtId="165" formatCode="0.0"/>
    <numFmt numFmtId="166" formatCode="#,##0.00\ _k_n"/>
    <numFmt numFmtId="167" formatCode="[$-41A]General"/>
    <numFmt numFmtId="168" formatCode="0.0%"/>
    <numFmt numFmtId="169" formatCode="#,##0.00&quot;     &quot;"/>
    <numFmt numFmtId="170" formatCode="_-* #,##0.00\ [$€-1]_-;\-* #,##0.00\ [$€-1]_-;_-* &quot;-&quot;??\ [$€-1]_-;_-@_-"/>
  </numFmts>
  <fonts count="41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2060"/>
      <name val="Calibri"/>
      <family val="2"/>
      <charset val="238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7" fontId="5" fillId="0" borderId="0" applyBorder="0" applyProtection="0"/>
    <xf numFmtId="0" fontId="26" fillId="0" borderId="0"/>
  </cellStyleXfs>
  <cellXfs count="250">
    <xf numFmtId="0" fontId="0" fillId="0" borderId="0" xfId="0"/>
    <xf numFmtId="0" fontId="1" fillId="0" borderId="0" xfId="0" applyFont="1"/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4" fillId="0" borderId="0" xfId="0" applyFont="1"/>
    <xf numFmtId="0" fontId="6" fillId="0" borderId="3" xfId="0" applyFont="1" applyBorder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6" fontId="10" fillId="0" borderId="0" xfId="0" applyNumberFormat="1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164" fontId="9" fillId="5" borderId="3" xfId="0" applyNumberFormat="1" applyFont="1" applyFill="1" applyBorder="1" applyAlignment="1">
      <alignment horizontal="right"/>
    </xf>
    <xf numFmtId="166" fontId="13" fillId="0" borderId="0" xfId="0" applyNumberFormat="1" applyFont="1"/>
    <xf numFmtId="0" fontId="13" fillId="0" borderId="0" xfId="0" applyFont="1"/>
    <xf numFmtId="0" fontId="7" fillId="2" borderId="3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right"/>
    </xf>
    <xf numFmtId="166" fontId="14" fillId="0" borderId="0" xfId="0" applyNumberFormat="1" applyFont="1"/>
    <xf numFmtId="0" fontId="14" fillId="0" borderId="0" xfId="0" applyFont="1"/>
    <xf numFmtId="0" fontId="6" fillId="2" borderId="3" xfId="0" quotePrefix="1" applyFont="1" applyFill="1" applyBorder="1" applyAlignment="1">
      <alignment horizontal="left" vertical="center"/>
    </xf>
    <xf numFmtId="14" fontId="6" fillId="2" borderId="3" xfId="0" quotePrefix="1" applyNumberFormat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right"/>
    </xf>
    <xf numFmtId="166" fontId="15" fillId="0" borderId="0" xfId="0" applyNumberFormat="1" applyFont="1"/>
    <xf numFmtId="0" fontId="15" fillId="0" borderId="0" xfId="0" applyFont="1"/>
    <xf numFmtId="0" fontId="7" fillId="2" borderId="3" xfId="0" quotePrefix="1" applyFont="1" applyFill="1" applyBorder="1" applyAlignment="1">
      <alignment horizontal="left" vertical="center"/>
    </xf>
    <xf numFmtId="14" fontId="7" fillId="2" borderId="3" xfId="0" quotePrefix="1" applyNumberFormat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164" fontId="7" fillId="5" borderId="3" xfId="0" applyNumberFormat="1" applyFont="1" applyFill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0" fontId="16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166" fontId="17" fillId="0" borderId="0" xfId="0" applyNumberFormat="1" applyFont="1"/>
    <xf numFmtId="0" fontId="17" fillId="0" borderId="0" xfId="0" applyFont="1"/>
    <xf numFmtId="164" fontId="6" fillId="2" borderId="3" xfId="0" applyNumberFormat="1" applyFont="1" applyFill="1" applyBorder="1" applyAlignment="1">
      <alignment horizontal="right" wrapText="1"/>
    </xf>
    <xf numFmtId="0" fontId="15" fillId="0" borderId="3" xfId="0" applyFont="1" applyBorder="1"/>
    <xf numFmtId="164" fontId="15" fillId="0" borderId="3" xfId="0" applyNumberFormat="1" applyFont="1" applyBorder="1"/>
    <xf numFmtId="0" fontId="7" fillId="0" borderId="3" xfId="0" applyFont="1" applyBorder="1" applyAlignment="1">
      <alignment horizontal="left"/>
    </xf>
    <xf numFmtId="166" fontId="18" fillId="0" borderId="0" xfId="0" applyNumberFormat="1" applyFont="1"/>
    <xf numFmtId="0" fontId="18" fillId="0" borderId="0" xfId="0" applyFont="1"/>
    <xf numFmtId="0" fontId="17" fillId="0" borderId="3" xfId="0" applyFont="1" applyBorder="1"/>
    <xf numFmtId="164" fontId="10" fillId="0" borderId="0" xfId="0" applyNumberFormat="1" applyFont="1"/>
    <xf numFmtId="168" fontId="10" fillId="0" borderId="0" xfId="0" applyNumberFormat="1" applyFont="1"/>
    <xf numFmtId="0" fontId="9" fillId="8" borderId="4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164" fontId="9" fillId="8" borderId="3" xfId="0" applyNumberFormat="1" applyFont="1" applyFill="1" applyBorder="1" applyAlignment="1">
      <alignment horizontal="center" vertical="center" wrapText="1"/>
    </xf>
    <xf numFmtId="168" fontId="10" fillId="8" borderId="3" xfId="0" applyNumberFormat="1" applyFont="1" applyFill="1" applyBorder="1"/>
    <xf numFmtId="168" fontId="10" fillId="5" borderId="3" xfId="0" applyNumberFormat="1" applyFont="1" applyFill="1" applyBorder="1"/>
    <xf numFmtId="168" fontId="10" fillId="0" borderId="3" xfId="0" applyNumberFormat="1" applyFont="1" applyBorder="1"/>
    <xf numFmtId="168" fontId="10" fillId="4" borderId="3" xfId="0" applyNumberFormat="1" applyFont="1" applyFill="1" applyBorder="1" applyAlignment="1">
      <alignment horizontal="center"/>
    </xf>
    <xf numFmtId="168" fontId="1" fillId="4" borderId="3" xfId="0" applyNumberFormat="1" applyFont="1" applyFill="1" applyBorder="1" applyAlignment="1">
      <alignment horizontal="center"/>
    </xf>
    <xf numFmtId="0" fontId="19" fillId="2" borderId="3" xfId="0" quotePrefix="1" applyFont="1" applyFill="1" applyBorder="1" applyAlignment="1">
      <alignment horizontal="left" vertical="center" wrapText="1"/>
    </xf>
    <xf numFmtId="168" fontId="1" fillId="0" borderId="3" xfId="0" applyNumberFormat="1" applyFont="1" applyBorder="1"/>
    <xf numFmtId="0" fontId="20" fillId="2" borderId="3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wrapText="1"/>
    </xf>
    <xf numFmtId="166" fontId="21" fillId="0" borderId="0" xfId="0" applyNumberFormat="1" applyFont="1"/>
    <xf numFmtId="49" fontId="10" fillId="0" borderId="0" xfId="0" applyNumberFormat="1" applyFont="1"/>
    <xf numFmtId="0" fontId="6" fillId="0" borderId="1" xfId="0" applyFont="1" applyBorder="1"/>
    <xf numFmtId="164" fontId="12" fillId="0" borderId="3" xfId="0" applyNumberFormat="1" applyFont="1" applyBorder="1" applyAlignment="1">
      <alignment horizontal="right"/>
    </xf>
    <xf numFmtId="49" fontId="6" fillId="2" borderId="3" xfId="0" quotePrefix="1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right"/>
    </xf>
    <xf numFmtId="14" fontId="6" fillId="0" borderId="3" xfId="0" quotePrefix="1" applyNumberFormat="1" applyFont="1" applyBorder="1" applyAlignment="1">
      <alignment horizontal="left" vertical="center"/>
    </xf>
    <xf numFmtId="164" fontId="12" fillId="0" borderId="3" xfId="0" applyNumberFormat="1" applyFont="1" applyBorder="1" applyAlignment="1">
      <alignment horizontal="right" wrapText="1"/>
    </xf>
    <xf numFmtId="14" fontId="7" fillId="0" borderId="3" xfId="0" quotePrefix="1" applyNumberFormat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 wrapText="1"/>
    </xf>
    <xf numFmtId="49" fontId="6" fillId="0" borderId="3" xfId="0" quotePrefix="1" applyNumberFormat="1" applyFont="1" applyBorder="1" applyAlignment="1">
      <alignment horizontal="left" vertical="center"/>
    </xf>
    <xf numFmtId="167" fontId="22" fillId="0" borderId="0" xfId="1" applyFont="1"/>
    <xf numFmtId="168" fontId="22" fillId="0" borderId="0" xfId="1" applyNumberFormat="1" applyFont="1"/>
    <xf numFmtId="0" fontId="23" fillId="0" borderId="0" xfId="0" applyFont="1"/>
    <xf numFmtId="169" fontId="22" fillId="0" borderId="0" xfId="1" applyNumberFormat="1" applyFont="1"/>
    <xf numFmtId="0" fontId="8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0" xfId="0" applyFont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Font="1" applyBorder="1" applyAlignment="1">
      <alignment horizontal="left"/>
    </xf>
    <xf numFmtId="0" fontId="8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/>
    </xf>
    <xf numFmtId="0" fontId="20" fillId="3" borderId="2" xfId="0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>
      <alignment horizontal="right"/>
    </xf>
    <xf numFmtId="168" fontId="8" fillId="3" borderId="3" xfId="0" applyNumberFormat="1" applyFont="1" applyFill="1" applyBorder="1" applyAlignment="1">
      <alignment horizontal="right"/>
    </xf>
    <xf numFmtId="165" fontId="24" fillId="0" borderId="0" xfId="0" applyNumberFormat="1" applyFont="1"/>
    <xf numFmtId="3" fontId="8" fillId="0" borderId="3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8" fontId="3" fillId="0" borderId="3" xfId="0" applyNumberFormat="1" applyFont="1" applyBorder="1" applyAlignment="1">
      <alignment horizontal="right"/>
    </xf>
    <xf numFmtId="165" fontId="23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164" fontId="8" fillId="0" borderId="3" xfId="0" applyNumberFormat="1" applyFont="1" applyBorder="1" applyAlignment="1">
      <alignment horizontal="right" wrapText="1"/>
    </xf>
    <xf numFmtId="164" fontId="8" fillId="3" borderId="3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5" fontId="8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center"/>
    </xf>
    <xf numFmtId="165" fontId="8" fillId="0" borderId="3" xfId="0" applyNumberFormat="1" applyFont="1" applyBorder="1" applyAlignment="1">
      <alignment horizontal="right"/>
    </xf>
    <xf numFmtId="165" fontId="8" fillId="3" borderId="3" xfId="0" applyNumberFormat="1" applyFont="1" applyFill="1" applyBorder="1" applyAlignment="1">
      <alignment horizontal="right"/>
    </xf>
    <xf numFmtId="0" fontId="8" fillId="0" borderId="0" xfId="0" quotePrefix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4" borderId="1" xfId="0" quotePrefix="1" applyNumberFormat="1" applyFont="1" applyFill="1" applyBorder="1" applyAlignment="1">
      <alignment horizontal="right"/>
    </xf>
    <xf numFmtId="170" fontId="8" fillId="4" borderId="1" xfId="0" quotePrefix="1" applyNumberFormat="1" applyFont="1" applyFill="1" applyBorder="1" applyAlignment="1">
      <alignment horizontal="right"/>
    </xf>
    <xf numFmtId="170" fontId="8" fillId="4" borderId="3" xfId="0" applyNumberFormat="1" applyFont="1" applyFill="1" applyBorder="1" applyAlignment="1">
      <alignment horizontal="right" wrapText="1"/>
    </xf>
    <xf numFmtId="168" fontId="8" fillId="4" borderId="3" xfId="0" applyNumberFormat="1" applyFont="1" applyFill="1" applyBorder="1" applyAlignment="1">
      <alignment horizontal="right"/>
    </xf>
    <xf numFmtId="3" fontId="8" fillId="3" borderId="1" xfId="0" quotePrefix="1" applyNumberFormat="1" applyFont="1" applyFill="1" applyBorder="1" applyAlignment="1">
      <alignment horizontal="right"/>
    </xf>
    <xf numFmtId="170" fontId="8" fillId="3" borderId="1" xfId="0" quotePrefix="1" applyNumberFormat="1" applyFont="1" applyFill="1" applyBorder="1" applyAlignment="1">
      <alignment horizontal="right"/>
    </xf>
    <xf numFmtId="170" fontId="8" fillId="3" borderId="3" xfId="0" applyNumberFormat="1" applyFont="1" applyFill="1" applyBorder="1" applyAlignment="1">
      <alignment horizontal="right" wrapText="1"/>
    </xf>
    <xf numFmtId="164" fontId="23" fillId="0" borderId="0" xfId="0" applyNumberFormat="1" applyFont="1"/>
    <xf numFmtId="0" fontId="23" fillId="0" borderId="0" xfId="0" applyFont="1" applyAlignment="1">
      <alignment horizontal="left" wrapText="1"/>
    </xf>
    <xf numFmtId="0" fontId="23" fillId="0" borderId="3" xfId="0" applyFont="1" applyBorder="1"/>
    <xf numFmtId="0" fontId="23" fillId="0" borderId="0" xfId="0" applyFont="1" applyAlignment="1">
      <alignment vertical="center"/>
    </xf>
    <xf numFmtId="0" fontId="2" fillId="0" borderId="0" xfId="0" quotePrefix="1" applyFont="1" applyAlignment="1">
      <alignment horizontal="left" wrapText="1"/>
    </xf>
    <xf numFmtId="0" fontId="20" fillId="0" borderId="0" xfId="0" applyFont="1" applyAlignment="1">
      <alignment wrapText="1"/>
    </xf>
    <xf numFmtId="3" fontId="8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3" fontId="27" fillId="0" borderId="0" xfId="0" applyNumberFormat="1" applyFont="1"/>
    <xf numFmtId="49" fontId="27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68" fontId="27" fillId="0" borderId="0" xfId="0" applyNumberFormat="1" applyFont="1" applyAlignment="1">
      <alignment vertical="center"/>
    </xf>
    <xf numFmtId="168" fontId="28" fillId="2" borderId="0" xfId="2" applyNumberFormat="1" applyFont="1" applyFill="1" applyAlignment="1">
      <alignment horizontal="center" vertical="center" wrapText="1"/>
    </xf>
    <xf numFmtId="3" fontId="29" fillId="0" borderId="0" xfId="0" applyNumberFormat="1" applyFont="1" applyAlignment="1">
      <alignment horizontal="left"/>
    </xf>
    <xf numFmtId="168" fontId="30" fillId="2" borderId="0" xfId="2" applyNumberFormat="1" applyFont="1" applyFill="1" applyAlignment="1">
      <alignment horizontal="center" vertical="center" wrapText="1"/>
    </xf>
    <xf numFmtId="3" fontId="31" fillId="0" borderId="0" xfId="0" applyNumberFormat="1" applyFont="1"/>
    <xf numFmtId="168" fontId="28" fillId="2" borderId="0" xfId="0" applyNumberFormat="1" applyFont="1" applyFill="1" applyAlignment="1">
      <alignment horizontal="center" vertical="center"/>
    </xf>
    <xf numFmtId="168" fontId="28" fillId="0" borderId="0" xfId="0" applyNumberFormat="1" applyFont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49" fontId="17" fillId="0" borderId="0" xfId="0" applyNumberFormat="1" applyFont="1"/>
    <xf numFmtId="164" fontId="34" fillId="7" borderId="3" xfId="0" applyNumberFormat="1" applyFont="1" applyFill="1" applyBorder="1"/>
    <xf numFmtId="168" fontId="34" fillId="7" borderId="3" xfId="0" applyNumberFormat="1" applyFont="1" applyFill="1" applyBorder="1"/>
    <xf numFmtId="164" fontId="34" fillId="0" borderId="3" xfId="0" applyNumberFormat="1" applyFont="1" applyBorder="1"/>
    <xf numFmtId="168" fontId="34" fillId="0" borderId="0" xfId="0" applyNumberFormat="1" applyFont="1"/>
    <xf numFmtId="164" fontId="35" fillId="6" borderId="3" xfId="0" applyNumberFormat="1" applyFont="1" applyFill="1" applyBorder="1"/>
    <xf numFmtId="168" fontId="35" fillId="6" borderId="0" xfId="0" applyNumberFormat="1" applyFont="1" applyFill="1"/>
    <xf numFmtId="0" fontId="35" fillId="0" borderId="3" xfId="0" applyFont="1" applyBorder="1"/>
    <xf numFmtId="164" fontId="35" fillId="0" borderId="3" xfId="0" applyNumberFormat="1" applyFont="1" applyBorder="1"/>
    <xf numFmtId="168" fontId="35" fillId="0" borderId="0" xfId="0" applyNumberFormat="1" applyFont="1"/>
    <xf numFmtId="0" fontId="35" fillId="0" borderId="3" xfId="0" applyFont="1" applyBorder="1" applyAlignment="1">
      <alignment horizontal="left"/>
    </xf>
    <xf numFmtId="164" fontId="32" fillId="7" borderId="3" xfId="0" applyNumberFormat="1" applyFont="1" applyFill="1" applyBorder="1"/>
    <xf numFmtId="168" fontId="32" fillId="7" borderId="3" xfId="0" applyNumberFormat="1" applyFont="1" applyFill="1" applyBorder="1"/>
    <xf numFmtId="164" fontId="32" fillId="0" borderId="3" xfId="0" applyNumberFormat="1" applyFont="1" applyBorder="1"/>
    <xf numFmtId="168" fontId="32" fillId="0" borderId="3" xfId="0" applyNumberFormat="1" applyFont="1" applyBorder="1"/>
    <xf numFmtId="164" fontId="32" fillId="5" borderId="3" xfId="0" applyNumberFormat="1" applyFont="1" applyFill="1" applyBorder="1"/>
    <xf numFmtId="168" fontId="32" fillId="5" borderId="3" xfId="0" applyNumberFormat="1" applyFont="1" applyFill="1" applyBorder="1"/>
    <xf numFmtId="164" fontId="36" fillId="6" borderId="3" xfId="0" applyNumberFormat="1" applyFont="1" applyFill="1" applyBorder="1"/>
    <xf numFmtId="168" fontId="36" fillId="6" borderId="3" xfId="0" applyNumberFormat="1" applyFont="1" applyFill="1" applyBorder="1"/>
    <xf numFmtId="164" fontId="36" fillId="0" borderId="3" xfId="0" applyNumberFormat="1" applyFont="1" applyBorder="1"/>
    <xf numFmtId="168" fontId="36" fillId="0" borderId="3" xfId="0" applyNumberFormat="1" applyFont="1" applyBorder="1"/>
    <xf numFmtId="0" fontId="36" fillId="0" borderId="3" xfId="0" applyFont="1" applyBorder="1"/>
    <xf numFmtId="0" fontId="36" fillId="0" borderId="3" xfId="0" applyFont="1" applyBorder="1" applyAlignment="1">
      <alignment horizontal="left"/>
    </xf>
    <xf numFmtId="3" fontId="37" fillId="0" borderId="0" xfId="0" applyNumberFormat="1" applyFont="1"/>
    <xf numFmtId="49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164" fontId="37" fillId="0" borderId="0" xfId="0" applyNumberFormat="1" applyFont="1" applyAlignment="1">
      <alignment horizontal="right" vertical="center"/>
    </xf>
    <xf numFmtId="170" fontId="38" fillId="0" borderId="0" xfId="0" applyNumberFormat="1" applyFont="1"/>
    <xf numFmtId="168" fontId="38" fillId="0" borderId="0" xfId="0" applyNumberFormat="1" applyFont="1"/>
    <xf numFmtId="0" fontId="39" fillId="0" borderId="0" xfId="0" applyFont="1" applyAlignment="1">
      <alignment vertical="center"/>
    </xf>
    <xf numFmtId="0" fontId="40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2" fillId="3" borderId="1" xfId="0" quotePrefix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9" fillId="0" borderId="0" xfId="0" applyFont="1" applyAlignment="1">
      <alignment horizontal="left" wrapText="1"/>
    </xf>
    <xf numFmtId="0" fontId="32" fillId="5" borderId="3" xfId="0" applyFont="1" applyFill="1" applyBorder="1"/>
    <xf numFmtId="0" fontId="36" fillId="6" borderId="3" xfId="0" applyFont="1" applyFill="1" applyBorder="1"/>
    <xf numFmtId="0" fontId="32" fillId="5" borderId="1" xfId="0" applyFont="1" applyFill="1" applyBorder="1"/>
    <xf numFmtId="0" fontId="32" fillId="5" borderId="4" xfId="0" applyFont="1" applyFill="1" applyBorder="1"/>
    <xf numFmtId="0" fontId="36" fillId="6" borderId="1" xfId="0" applyFont="1" applyFill="1" applyBorder="1"/>
    <xf numFmtId="0" fontId="36" fillId="6" borderId="4" xfId="0" applyFont="1" applyFill="1" applyBorder="1"/>
    <xf numFmtId="0" fontId="32" fillId="7" borderId="3" xfId="0" applyFont="1" applyFill="1" applyBorder="1"/>
    <xf numFmtId="0" fontId="32" fillId="0" borderId="3" xfId="0" applyFont="1" applyBorder="1"/>
    <xf numFmtId="0" fontId="35" fillId="6" borderId="3" xfId="0" applyFont="1" applyFill="1" applyBorder="1"/>
    <xf numFmtId="168" fontId="33" fillId="0" borderId="6" xfId="0" applyNumberFormat="1" applyFont="1" applyBorder="1" applyAlignment="1">
      <alignment horizontal="center" vertical="center" wrapText="1"/>
    </xf>
    <xf numFmtId="168" fontId="33" fillId="0" borderId="7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4" fillId="7" borderId="3" xfId="0" applyFont="1" applyFill="1" applyBorder="1"/>
    <xf numFmtId="0" fontId="34" fillId="0" borderId="3" xfId="0" applyFont="1" applyBorder="1"/>
    <xf numFmtId="0" fontId="28" fillId="2" borderId="0" xfId="2" applyFont="1" applyFill="1" applyAlignment="1">
      <alignment horizontal="center" vertical="center" wrapText="1"/>
    </xf>
    <xf numFmtId="0" fontId="30" fillId="2" borderId="0" xfId="2" applyFont="1" applyFill="1" applyAlignment="1">
      <alignment horizontal="center" vertical="center" wrapText="1"/>
    </xf>
    <xf numFmtId="49" fontId="28" fillId="2" borderId="0" xfId="0" applyNumberFormat="1" applyFont="1" applyFill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 wrapText="1"/>
    </xf>
    <xf numFmtId="164" fontId="15" fillId="0" borderId="3" xfId="0" applyNumberFormat="1" applyFont="1" applyFill="1" applyBorder="1"/>
    <xf numFmtId="164" fontId="7" fillId="0" borderId="3" xfId="0" applyNumberFormat="1" applyFont="1" applyFill="1" applyBorder="1"/>
  </cellXfs>
  <cellStyles count="3">
    <cellStyle name="Excel Built-in Normal" xfId="1" xr:uid="{384B591F-D337-42E0-A800-FC5DE03D0E6C}"/>
    <cellStyle name="Normalno" xfId="0" builtinId="0"/>
    <cellStyle name="Normalno 2" xfId="2" xr:uid="{7C14F4C9-CAF7-42D8-BD7F-90A4B33FD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17320</xdr:colOff>
      <xdr:row>0</xdr:row>
      <xdr:rowOff>104775</xdr:rowOff>
    </xdr:from>
    <xdr:to>
      <xdr:col>6</xdr:col>
      <xdr:colOff>485775</xdr:colOff>
      <xdr:row>7</xdr:row>
      <xdr:rowOff>49530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AC6BD0-A6C6-4EEB-9F19-237D54D89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0" y="104775"/>
          <a:ext cx="5907230" cy="1278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"/>
  <sheetViews>
    <sheetView tabSelected="1" zoomScaleNormal="100" workbookViewId="0">
      <selection activeCell="L20" sqref="L20"/>
    </sheetView>
  </sheetViews>
  <sheetFormatPr defaultRowHeight="12" x14ac:dyDescent="0.2"/>
  <cols>
    <col min="1" max="4" width="9.140625" style="1"/>
    <col min="5" max="5" width="7.7109375" style="1" customWidth="1"/>
    <col min="6" max="6" width="25.28515625" style="1" hidden="1" customWidth="1"/>
    <col min="7" max="7" width="7.42578125" style="1" hidden="1" customWidth="1"/>
    <col min="8" max="8" width="16.28515625" style="1" hidden="1" customWidth="1"/>
    <col min="9" max="9" width="15.5703125" style="1" hidden="1" customWidth="1"/>
    <col min="10" max="12" width="15" style="1" customWidth="1"/>
    <col min="13" max="16384" width="9.140625" style="1"/>
  </cols>
  <sheetData>
    <row r="1" spans="1:33" s="100" customFormat="1" x14ac:dyDescent="0.2">
      <c r="A1" s="98" t="s">
        <v>68</v>
      </c>
      <c r="B1" s="98"/>
      <c r="C1" s="98"/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3" s="100" customFormat="1" x14ac:dyDescent="0.2">
      <c r="A2" s="98" t="s">
        <v>127</v>
      </c>
      <c r="B2" s="98"/>
      <c r="C2" s="98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s="100" customFormat="1" x14ac:dyDescent="0.2">
      <c r="A3" s="98" t="s">
        <v>135</v>
      </c>
      <c r="B3" s="98"/>
      <c r="C3" s="98"/>
      <c r="D3" s="99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</row>
    <row r="4" spans="1:33" s="100" customFormat="1" x14ac:dyDescent="0.2">
      <c r="A4" s="98" t="s">
        <v>126</v>
      </c>
      <c r="B4" s="98"/>
      <c r="C4" s="98"/>
      <c r="D4" s="99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</row>
    <row r="5" spans="1:33" s="100" customFormat="1" x14ac:dyDescent="0.2">
      <c r="A5" s="98"/>
      <c r="B5" s="98"/>
      <c r="C5" s="98"/>
      <c r="D5" s="99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</row>
    <row r="6" spans="1:33" s="100" customFormat="1" x14ac:dyDescent="0.2">
      <c r="A6" s="98" t="s">
        <v>69</v>
      </c>
      <c r="B6" s="98"/>
      <c r="C6" s="98"/>
      <c r="D6" s="99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</row>
    <row r="7" spans="1:33" s="100" customFormat="1" x14ac:dyDescent="0.2">
      <c r="A7" s="98" t="s">
        <v>128</v>
      </c>
      <c r="B7" s="98"/>
      <c r="C7" s="98"/>
      <c r="D7" s="99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</row>
    <row r="8" spans="1:33" s="100" customFormat="1" x14ac:dyDescent="0.2">
      <c r="A8" s="98"/>
      <c r="B8" s="98"/>
      <c r="C8" s="98"/>
      <c r="D8" s="99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</row>
    <row r="9" spans="1:33" ht="42" customHeight="1" x14ac:dyDescent="0.2">
      <c r="A9" s="197" t="s">
        <v>133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4"/>
      <c r="O9" s="14"/>
    </row>
    <row r="10" spans="1:33" ht="11.2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0"/>
      <c r="N10" s="100"/>
      <c r="O10" s="100"/>
    </row>
    <row r="11" spans="1:33" ht="15.75" customHeight="1" x14ac:dyDescent="0.2">
      <c r="A11" s="197" t="s">
        <v>34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4"/>
      <c r="O11" s="14"/>
    </row>
    <row r="12" spans="1:33" ht="8.25" customHeight="1" x14ac:dyDescent="0.2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00"/>
      <c r="O12" s="100"/>
    </row>
    <row r="13" spans="1:33" ht="18" customHeight="1" x14ac:dyDescent="0.2">
      <c r="A13" s="197" t="s">
        <v>40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4"/>
      <c r="O13" s="14"/>
    </row>
    <row r="14" spans="1:33" x14ac:dyDescent="0.2">
      <c r="A14" s="102"/>
      <c r="B14" s="103"/>
      <c r="C14" s="103"/>
      <c r="D14" s="103"/>
      <c r="E14" s="104"/>
      <c r="F14" s="105"/>
      <c r="G14" s="105"/>
      <c r="H14" s="105"/>
      <c r="I14" s="105"/>
      <c r="J14" s="106"/>
      <c r="K14" s="107"/>
      <c r="L14" s="107"/>
      <c r="M14" s="100"/>
      <c r="N14" s="100"/>
      <c r="O14" s="108"/>
    </row>
    <row r="15" spans="1:33" ht="24" x14ac:dyDescent="0.2">
      <c r="A15" s="109"/>
      <c r="B15" s="110"/>
      <c r="C15" s="110"/>
      <c r="D15" s="111"/>
      <c r="E15" s="112"/>
      <c r="F15" s="113" t="s">
        <v>42</v>
      </c>
      <c r="G15" s="113" t="s">
        <v>43</v>
      </c>
      <c r="H15" s="113" t="s">
        <v>45</v>
      </c>
      <c r="I15" s="113" t="s">
        <v>113</v>
      </c>
      <c r="J15" s="113" t="s">
        <v>45</v>
      </c>
      <c r="K15" s="113" t="s">
        <v>113</v>
      </c>
      <c r="L15" s="113" t="s">
        <v>114</v>
      </c>
      <c r="M15" s="113" t="s">
        <v>117</v>
      </c>
      <c r="N15" s="14"/>
      <c r="O15" s="14"/>
    </row>
    <row r="16" spans="1:33" x14ac:dyDescent="0.2">
      <c r="A16" s="109"/>
      <c r="B16" s="110"/>
      <c r="C16" s="110"/>
      <c r="D16" s="111"/>
      <c r="E16" s="112"/>
      <c r="F16" s="113"/>
      <c r="G16" s="113"/>
      <c r="H16" s="113">
        <v>1</v>
      </c>
      <c r="I16" s="113">
        <v>2</v>
      </c>
      <c r="J16" s="113">
        <v>1</v>
      </c>
      <c r="K16" s="113">
        <v>2</v>
      </c>
      <c r="L16" s="113">
        <v>3</v>
      </c>
      <c r="M16" s="114" t="s">
        <v>67</v>
      </c>
      <c r="N16" s="115"/>
      <c r="O16" s="115"/>
    </row>
    <row r="17" spans="1:15" x14ac:dyDescent="0.2">
      <c r="A17" s="205" t="s">
        <v>0</v>
      </c>
      <c r="B17" s="201"/>
      <c r="C17" s="201"/>
      <c r="D17" s="201"/>
      <c r="E17" s="206"/>
      <c r="F17" s="117">
        <v>0</v>
      </c>
      <c r="G17" s="117">
        <v>0</v>
      </c>
      <c r="H17" s="118">
        <f>H18+H19</f>
        <v>19591825.629999999</v>
      </c>
      <c r="I17" s="118">
        <f>I18+I19</f>
        <v>2868373.12</v>
      </c>
      <c r="J17" s="118">
        <f>J18+J19</f>
        <v>22460198.75</v>
      </c>
      <c r="K17" s="118">
        <f t="shared" ref="K17:K23" si="0">L17-J17</f>
        <v>141458.17000000179</v>
      </c>
      <c r="L17" s="118">
        <f>L18+L19</f>
        <v>22601656.920000002</v>
      </c>
      <c r="M17" s="119">
        <f t="shared" ref="M17:M23" si="1">L17/J17</f>
        <v>1.0062981708921876</v>
      </c>
      <c r="N17" s="120"/>
      <c r="O17" s="120"/>
    </row>
    <row r="18" spans="1:15" x14ac:dyDescent="0.2">
      <c r="A18" s="207" t="s">
        <v>1</v>
      </c>
      <c r="B18" s="203"/>
      <c r="C18" s="203"/>
      <c r="D18" s="203"/>
      <c r="E18" s="199"/>
      <c r="F18" s="121"/>
      <c r="G18" s="121"/>
      <c r="H18" s="122">
        <v>19591560.18</v>
      </c>
      <c r="I18" s="122">
        <f>J18-H18</f>
        <v>2858338.5700000003</v>
      </c>
      <c r="J18" s="122">
        <v>22449898.75</v>
      </c>
      <c r="K18" s="122">
        <f t="shared" si="0"/>
        <v>141458.17000000179</v>
      </c>
      <c r="L18" s="122">
        <v>22591356.920000002</v>
      </c>
      <c r="M18" s="123">
        <f t="shared" si="1"/>
        <v>1.0063010604891927</v>
      </c>
      <c r="N18" s="124"/>
      <c r="O18" s="124"/>
    </row>
    <row r="19" spans="1:15" x14ac:dyDescent="0.2">
      <c r="A19" s="198" t="s">
        <v>2</v>
      </c>
      <c r="B19" s="199"/>
      <c r="C19" s="199"/>
      <c r="D19" s="199"/>
      <c r="E19" s="199"/>
      <c r="F19" s="121"/>
      <c r="G19" s="121"/>
      <c r="H19" s="122">
        <v>265.45</v>
      </c>
      <c r="I19" s="122">
        <f>J19-H19</f>
        <v>10034.549999999999</v>
      </c>
      <c r="J19" s="122">
        <v>10300</v>
      </c>
      <c r="K19" s="122">
        <f t="shared" si="0"/>
        <v>0</v>
      </c>
      <c r="L19" s="122">
        <v>10300</v>
      </c>
      <c r="M19" s="123">
        <f t="shared" si="1"/>
        <v>1</v>
      </c>
      <c r="N19" s="124"/>
      <c r="O19" s="124"/>
    </row>
    <row r="20" spans="1:15" ht="31.5" customHeight="1" x14ac:dyDescent="0.2">
      <c r="A20" s="125" t="s">
        <v>3</v>
      </c>
      <c r="B20" s="116"/>
      <c r="C20" s="116"/>
      <c r="D20" s="116"/>
      <c r="E20" s="116"/>
      <c r="F20" s="117">
        <v>0</v>
      </c>
      <c r="G20" s="117">
        <v>0</v>
      </c>
      <c r="H20" s="118">
        <f>H21+H22</f>
        <v>19591825.629999999</v>
      </c>
      <c r="I20" s="118">
        <f>I21+I22</f>
        <v>2827322.6400000034</v>
      </c>
      <c r="J20" s="118">
        <f>J21+J22</f>
        <v>22419148.270000003</v>
      </c>
      <c r="K20" s="118">
        <f t="shared" si="0"/>
        <v>141458.16999999806</v>
      </c>
      <c r="L20" s="118">
        <f>L21+L22</f>
        <v>22560606.440000001</v>
      </c>
      <c r="M20" s="119">
        <f t="shared" si="1"/>
        <v>1.0063097031295025</v>
      </c>
      <c r="N20" s="120"/>
      <c r="O20" s="120"/>
    </row>
    <row r="21" spans="1:15" ht="23.25" customHeight="1" x14ac:dyDescent="0.2">
      <c r="A21" s="202" t="s">
        <v>4</v>
      </c>
      <c r="B21" s="203"/>
      <c r="C21" s="203"/>
      <c r="D21" s="203"/>
      <c r="E21" s="203"/>
      <c r="F21" s="121"/>
      <c r="G21" s="121"/>
      <c r="H21" s="122">
        <v>18338428.579999998</v>
      </c>
      <c r="I21" s="122">
        <f>J21-H21</f>
        <v>2755847.0200000033</v>
      </c>
      <c r="J21" s="126">
        <v>21094275.600000001</v>
      </c>
      <c r="K21" s="126">
        <f t="shared" si="0"/>
        <v>136783.33999999985</v>
      </c>
      <c r="L21" s="126">
        <v>21231058.940000001</v>
      </c>
      <c r="M21" s="123">
        <f t="shared" si="1"/>
        <v>1.0064843819524194</v>
      </c>
      <c r="N21" s="124"/>
      <c r="O21" s="124"/>
    </row>
    <row r="22" spans="1:15" x14ac:dyDescent="0.2">
      <c r="A22" s="198" t="s">
        <v>5</v>
      </c>
      <c r="B22" s="199"/>
      <c r="C22" s="199"/>
      <c r="D22" s="199"/>
      <c r="E22" s="199"/>
      <c r="F22" s="121"/>
      <c r="G22" s="121"/>
      <c r="H22" s="122">
        <v>1253397.05</v>
      </c>
      <c r="I22" s="122">
        <f>J22-H22</f>
        <v>71475.619999999879</v>
      </c>
      <c r="J22" s="126">
        <v>1324872.67</v>
      </c>
      <c r="K22" s="126">
        <f t="shared" si="0"/>
        <v>4674.8300000000745</v>
      </c>
      <c r="L22" s="126">
        <v>1329547.5</v>
      </c>
      <c r="M22" s="123">
        <f t="shared" si="1"/>
        <v>1.0035285126683156</v>
      </c>
      <c r="N22" s="124"/>
      <c r="O22" s="124"/>
    </row>
    <row r="23" spans="1:15" ht="21" customHeight="1" x14ac:dyDescent="0.2">
      <c r="A23" s="200" t="s">
        <v>6</v>
      </c>
      <c r="B23" s="201"/>
      <c r="C23" s="201"/>
      <c r="D23" s="201"/>
      <c r="E23" s="201"/>
      <c r="F23" s="117">
        <v>0</v>
      </c>
      <c r="G23" s="117">
        <v>0</v>
      </c>
      <c r="H23" s="127">
        <v>0</v>
      </c>
      <c r="I23" s="127">
        <f>I17-I20</f>
        <v>41050.479999996722</v>
      </c>
      <c r="J23" s="127">
        <f>J17-J20</f>
        <v>41050.479999996722</v>
      </c>
      <c r="K23" s="127">
        <f t="shared" si="0"/>
        <v>3.2814568839967251E-9</v>
      </c>
      <c r="L23" s="127">
        <v>41050.480000000003</v>
      </c>
      <c r="M23" s="119">
        <f t="shared" si="1"/>
        <v>1.0000000000000799</v>
      </c>
      <c r="N23" s="124"/>
      <c r="O23" s="124"/>
    </row>
    <row r="24" spans="1:15" ht="12" customHeight="1" x14ac:dyDescent="0.2">
      <c r="A24" s="9"/>
      <c r="B24" s="128"/>
      <c r="C24" s="128"/>
      <c r="D24" s="128"/>
      <c r="E24" s="128"/>
      <c r="F24" s="128"/>
      <c r="G24" s="128"/>
      <c r="H24" s="129"/>
      <c r="I24" s="130"/>
      <c r="J24" s="129"/>
      <c r="K24" s="129"/>
      <c r="L24" s="129"/>
      <c r="M24" s="100"/>
      <c r="N24" s="100"/>
      <c r="O24" s="100"/>
    </row>
    <row r="25" spans="1:15" ht="18" customHeight="1" x14ac:dyDescent="0.2">
      <c r="A25" s="197" t="s">
        <v>41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4"/>
      <c r="O25" s="14"/>
    </row>
    <row r="26" spans="1:15" ht="11.25" customHeight="1" x14ac:dyDescent="0.2">
      <c r="A26" s="9"/>
      <c r="B26" s="128"/>
      <c r="C26" s="128"/>
      <c r="D26" s="128"/>
      <c r="E26" s="128"/>
      <c r="F26" s="128"/>
      <c r="G26" s="128"/>
      <c r="H26" s="129"/>
      <c r="I26" s="129"/>
      <c r="J26" s="129"/>
      <c r="K26" s="129"/>
      <c r="L26" s="129"/>
      <c r="M26" s="100"/>
      <c r="N26" s="100"/>
      <c r="O26" s="100"/>
    </row>
    <row r="27" spans="1:15" ht="24" x14ac:dyDescent="0.2">
      <c r="A27" s="109"/>
      <c r="B27" s="110"/>
      <c r="C27" s="110"/>
      <c r="D27" s="111"/>
      <c r="E27" s="112"/>
      <c r="F27" s="113" t="s">
        <v>12</v>
      </c>
      <c r="G27" s="113" t="s">
        <v>13</v>
      </c>
      <c r="H27" s="113" t="s">
        <v>45</v>
      </c>
      <c r="I27" s="113" t="s">
        <v>113</v>
      </c>
      <c r="J27" s="113" t="s">
        <v>45</v>
      </c>
      <c r="K27" s="113" t="s">
        <v>113</v>
      </c>
      <c r="L27" s="113" t="s">
        <v>114</v>
      </c>
      <c r="M27" s="113" t="s">
        <v>117</v>
      </c>
      <c r="N27" s="131"/>
      <c r="O27" s="131"/>
    </row>
    <row r="28" spans="1:15" s="5" customFormat="1" x14ac:dyDescent="0.2">
      <c r="A28" s="109"/>
      <c r="B28" s="110"/>
      <c r="C28" s="110"/>
      <c r="D28" s="111"/>
      <c r="E28" s="112"/>
      <c r="F28" s="113"/>
      <c r="G28" s="113"/>
      <c r="H28" s="113">
        <v>1</v>
      </c>
      <c r="I28" s="113">
        <v>2</v>
      </c>
      <c r="J28" s="113">
        <v>1</v>
      </c>
      <c r="K28" s="113">
        <v>2</v>
      </c>
      <c r="L28" s="113">
        <v>3</v>
      </c>
      <c r="M28" s="114" t="s">
        <v>67</v>
      </c>
      <c r="N28" s="132"/>
      <c r="O28" s="132"/>
    </row>
    <row r="29" spans="1:15" ht="15.75" customHeight="1" x14ac:dyDescent="0.2">
      <c r="A29" s="207" t="s">
        <v>8</v>
      </c>
      <c r="B29" s="214"/>
      <c r="C29" s="214"/>
      <c r="D29" s="214"/>
      <c r="E29" s="215"/>
      <c r="F29" s="121"/>
      <c r="G29" s="121"/>
      <c r="H29" s="122"/>
      <c r="I29" s="122"/>
      <c r="J29" s="122"/>
      <c r="K29" s="122"/>
      <c r="L29" s="122"/>
      <c r="M29" s="133"/>
      <c r="N29" s="124"/>
      <c r="O29" s="124"/>
    </row>
    <row r="30" spans="1:15" ht="32.25" customHeight="1" x14ac:dyDescent="0.2">
      <c r="A30" s="207" t="s">
        <v>9</v>
      </c>
      <c r="B30" s="203"/>
      <c r="C30" s="203"/>
      <c r="D30" s="203"/>
      <c r="E30" s="203"/>
      <c r="F30" s="121"/>
      <c r="G30" s="121"/>
      <c r="H30" s="122"/>
      <c r="I30" s="122"/>
      <c r="J30" s="122"/>
      <c r="K30" s="122"/>
      <c r="L30" s="122"/>
      <c r="M30" s="133"/>
      <c r="N30" s="124"/>
      <c r="O30" s="124"/>
    </row>
    <row r="31" spans="1:15" x14ac:dyDescent="0.2">
      <c r="A31" s="200" t="s">
        <v>10</v>
      </c>
      <c r="B31" s="201"/>
      <c r="C31" s="201"/>
      <c r="D31" s="201"/>
      <c r="E31" s="201"/>
      <c r="F31" s="117">
        <v>0</v>
      </c>
      <c r="G31" s="117">
        <v>0</v>
      </c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34"/>
      <c r="N31" s="124"/>
      <c r="O31" s="124"/>
    </row>
    <row r="32" spans="1:15" ht="11.25" customHeight="1" x14ac:dyDescent="0.2">
      <c r="A32" s="135"/>
      <c r="B32" s="128"/>
      <c r="C32" s="128"/>
      <c r="D32" s="128"/>
      <c r="E32" s="128"/>
      <c r="F32" s="128"/>
      <c r="G32" s="128"/>
      <c r="H32" s="129"/>
      <c r="I32" s="129"/>
      <c r="J32" s="129"/>
      <c r="K32" s="129"/>
      <c r="L32" s="129"/>
      <c r="M32" s="100"/>
      <c r="N32" s="100"/>
      <c r="O32" s="100"/>
    </row>
    <row r="33" spans="1:21" ht="18" customHeight="1" x14ac:dyDescent="0.2">
      <c r="A33" s="197" t="s">
        <v>50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4"/>
      <c r="O33" s="14"/>
    </row>
    <row r="34" spans="1:21" ht="6.75" customHeight="1" x14ac:dyDescent="0.2">
      <c r="A34" s="135"/>
      <c r="B34" s="128"/>
      <c r="C34" s="128"/>
      <c r="D34" s="128"/>
      <c r="E34" s="128"/>
      <c r="F34" s="128"/>
      <c r="G34" s="128"/>
      <c r="H34" s="129"/>
      <c r="I34" s="129"/>
      <c r="J34" s="129"/>
      <c r="K34" s="129"/>
      <c r="L34" s="129"/>
      <c r="M34" s="100"/>
      <c r="N34" s="100"/>
      <c r="O34" s="100"/>
    </row>
    <row r="35" spans="1:21" ht="24" x14ac:dyDescent="0.2">
      <c r="A35" s="109"/>
      <c r="B35" s="110"/>
      <c r="C35" s="110"/>
      <c r="D35" s="111"/>
      <c r="E35" s="112"/>
      <c r="F35" s="113" t="s">
        <v>12</v>
      </c>
      <c r="G35" s="113" t="s">
        <v>13</v>
      </c>
      <c r="H35" s="113" t="s">
        <v>45</v>
      </c>
      <c r="I35" s="113" t="s">
        <v>113</v>
      </c>
      <c r="J35" s="113" t="s">
        <v>45</v>
      </c>
      <c r="K35" s="113" t="s">
        <v>113</v>
      </c>
      <c r="L35" s="113" t="s">
        <v>114</v>
      </c>
      <c r="M35" s="113" t="s">
        <v>117</v>
      </c>
      <c r="N35" s="136"/>
      <c r="O35" s="136"/>
    </row>
    <row r="36" spans="1:21" s="5" customFormat="1" x14ac:dyDescent="0.2">
      <c r="A36" s="109"/>
      <c r="B36" s="110"/>
      <c r="C36" s="110"/>
      <c r="D36" s="111"/>
      <c r="E36" s="112"/>
      <c r="F36" s="137"/>
      <c r="G36" s="137"/>
      <c r="H36" s="137">
        <v>1</v>
      </c>
      <c r="I36" s="137">
        <v>2</v>
      </c>
      <c r="J36" s="113">
        <v>1</v>
      </c>
      <c r="K36" s="113">
        <v>2</v>
      </c>
      <c r="L36" s="113">
        <v>3</v>
      </c>
      <c r="M36" s="114" t="s">
        <v>67</v>
      </c>
      <c r="N36" s="132"/>
      <c r="O36" s="132"/>
    </row>
    <row r="37" spans="1:21" ht="23.25" customHeight="1" x14ac:dyDescent="0.2">
      <c r="A37" s="208" t="s">
        <v>44</v>
      </c>
      <c r="B37" s="209"/>
      <c r="C37" s="209"/>
      <c r="D37" s="209"/>
      <c r="E37" s="210"/>
      <c r="F37" s="138"/>
      <c r="G37" s="138"/>
      <c r="H37" s="138"/>
      <c r="I37" s="139">
        <f>I38</f>
        <v>-41050.479999996722</v>
      </c>
      <c r="J37" s="140">
        <f>I37</f>
        <v>-41050.479999996722</v>
      </c>
      <c r="K37" s="140"/>
      <c r="L37" s="140">
        <v>-41050.480000000003</v>
      </c>
      <c r="M37" s="141">
        <f>L37/J37</f>
        <v>1.0000000000000799</v>
      </c>
      <c r="N37" s="132"/>
      <c r="O37" s="124"/>
    </row>
    <row r="38" spans="1:21" ht="30" customHeight="1" x14ac:dyDescent="0.2">
      <c r="A38" s="211" t="s">
        <v>7</v>
      </c>
      <c r="B38" s="212"/>
      <c r="C38" s="212"/>
      <c r="D38" s="212"/>
      <c r="E38" s="213"/>
      <c r="F38" s="142"/>
      <c r="G38" s="142"/>
      <c r="H38" s="142"/>
      <c r="I38" s="143">
        <f>I20-I17</f>
        <v>-41050.479999996722</v>
      </c>
      <c r="J38" s="144">
        <f>I38</f>
        <v>-41050.479999996722</v>
      </c>
      <c r="K38" s="144"/>
      <c r="L38" s="144">
        <v>-41050.480000000003</v>
      </c>
      <c r="M38" s="141">
        <f>L38/J38</f>
        <v>1.0000000000000799</v>
      </c>
      <c r="N38" s="132"/>
      <c r="O38" s="100"/>
    </row>
    <row r="39" spans="1:21" x14ac:dyDescent="0.2">
      <c r="A39" s="100"/>
      <c r="B39" s="100"/>
      <c r="C39" s="100"/>
      <c r="D39" s="100"/>
      <c r="E39" s="100"/>
      <c r="F39" s="100"/>
      <c r="G39" s="100"/>
      <c r="H39" s="100"/>
      <c r="I39" s="145"/>
      <c r="J39" s="145"/>
      <c r="K39" s="145"/>
      <c r="L39" s="145"/>
      <c r="M39" s="100"/>
      <c r="N39" s="132"/>
      <c r="O39" s="100"/>
      <c r="S39" s="204"/>
      <c r="T39" s="204"/>
      <c r="U39" s="204"/>
    </row>
    <row r="40" spans="1:21" x14ac:dyDescent="0.2">
      <c r="A40" s="202" t="s">
        <v>11</v>
      </c>
      <c r="B40" s="203"/>
      <c r="C40" s="203"/>
      <c r="D40" s="203"/>
      <c r="E40" s="203"/>
      <c r="F40" s="121">
        <v>0</v>
      </c>
      <c r="G40" s="121">
        <v>0</v>
      </c>
      <c r="H40" s="121">
        <v>0</v>
      </c>
      <c r="I40" s="121">
        <v>0</v>
      </c>
      <c r="J40" s="121">
        <v>0</v>
      </c>
      <c r="K40" s="121"/>
      <c r="L40" s="121">
        <v>0</v>
      </c>
      <c r="M40" s="147"/>
      <c r="N40" s="100"/>
      <c r="O40" s="100"/>
      <c r="S40" s="148"/>
      <c r="T40" s="100"/>
    </row>
    <row r="41" spans="1:21" ht="11.25" customHeight="1" x14ac:dyDescent="0.2">
      <c r="A41" s="149"/>
      <c r="B41" s="150"/>
      <c r="C41" s="150"/>
      <c r="D41" s="150"/>
      <c r="E41" s="150"/>
      <c r="F41" s="151"/>
      <c r="G41" s="151"/>
      <c r="H41" s="151"/>
      <c r="I41" s="151"/>
      <c r="J41" s="151"/>
      <c r="K41" s="151"/>
      <c r="L41" s="151"/>
      <c r="M41" s="100"/>
      <c r="N41" s="100"/>
      <c r="O41" s="100"/>
      <c r="S41" s="152"/>
      <c r="T41" s="152"/>
    </row>
    <row r="42" spans="1:21" ht="13.5" customHeight="1" x14ac:dyDescent="0.2">
      <c r="A42" s="153"/>
      <c r="B42" s="152"/>
      <c r="C42" s="152"/>
      <c r="D42" s="152"/>
      <c r="E42" s="152"/>
      <c r="F42" s="152"/>
      <c r="G42" s="152"/>
      <c r="H42" s="152"/>
      <c r="I42" s="204"/>
      <c r="J42" s="204"/>
      <c r="K42" s="146"/>
      <c r="L42" s="204" t="s">
        <v>122</v>
      </c>
      <c r="M42" s="204"/>
      <c r="N42" s="204"/>
      <c r="O42" s="204"/>
      <c r="P42" s="204"/>
      <c r="Q42" s="204"/>
      <c r="S42" s="100"/>
      <c r="T42" s="100"/>
    </row>
    <row r="43" spans="1:21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48" t="s">
        <v>123</v>
      </c>
      <c r="O43" s="100"/>
    </row>
  </sheetData>
  <sheetProtection algorithmName="SHA-512" hashValue="meZfJuB/3G01alGdbcm1vjftstD/Yq7Z8bC0jDHEHKWrjAI+uN5pOBrsJImKtCGHHzzhRnhN5PS1DPy40f/Q/Q==" saltValue="r08ooobUe5drmb3mRVKi4g==" spinCount="100000" sheet="1" objects="1" scenarios="1"/>
  <mergeCells count="21">
    <mergeCell ref="S39:U39"/>
    <mergeCell ref="O42:Q42"/>
    <mergeCell ref="I42:J42"/>
    <mergeCell ref="A17:E17"/>
    <mergeCell ref="A18:E18"/>
    <mergeCell ref="A19:E19"/>
    <mergeCell ref="L42:N42"/>
    <mergeCell ref="A40:E40"/>
    <mergeCell ref="A37:E37"/>
    <mergeCell ref="A38:E38"/>
    <mergeCell ref="A29:E29"/>
    <mergeCell ref="A30:E30"/>
    <mergeCell ref="A31:E31"/>
    <mergeCell ref="A25:M25"/>
    <mergeCell ref="A33:M33"/>
    <mergeCell ref="A11:M12"/>
    <mergeCell ref="A13:M13"/>
    <mergeCell ref="A9:M9"/>
    <mergeCell ref="A22:E22"/>
    <mergeCell ref="A23:E23"/>
    <mergeCell ref="A21:E2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&amp;L&amp;"-,Podebljano"ZAVOD ZA HITNU MEDICINU SPLITSKO-DALMATINSKE ŽUPANIJE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6"/>
  <sheetViews>
    <sheetView zoomScale="90" zoomScaleNormal="90" workbookViewId="0">
      <selection activeCell="H17" sqref="H17"/>
    </sheetView>
  </sheetViews>
  <sheetFormatPr defaultRowHeight="11.25" x14ac:dyDescent="0.2"/>
  <cols>
    <col min="1" max="1" width="5.140625" style="18" customWidth="1"/>
    <col min="2" max="2" width="6.140625" style="18" customWidth="1"/>
    <col min="3" max="3" width="8.28515625" style="18" customWidth="1"/>
    <col min="4" max="4" width="25.28515625" style="18" customWidth="1"/>
    <col min="5" max="5" width="16.7109375" style="18" hidden="1" customWidth="1"/>
    <col min="6" max="6" width="12.42578125" style="18" hidden="1" customWidth="1"/>
    <col min="7" max="9" width="13.28515625" style="18" customWidth="1"/>
    <col min="10" max="10" width="8.7109375" style="65" customWidth="1"/>
    <col min="11" max="11" width="14.42578125" style="17" customWidth="1"/>
    <col min="12" max="16384" width="9.140625" style="18"/>
  </cols>
  <sheetData>
    <row r="1" spans="1:11" ht="42" customHeight="1" x14ac:dyDescent="0.2">
      <c r="A1" s="221" t="s">
        <v>133</v>
      </c>
      <c r="B1" s="221"/>
      <c r="C1" s="221"/>
      <c r="D1" s="221"/>
      <c r="E1" s="221"/>
      <c r="F1" s="221"/>
      <c r="G1" s="221"/>
      <c r="H1" s="221"/>
      <c r="I1" s="221"/>
      <c r="J1" s="221"/>
      <c r="K1" s="16"/>
    </row>
    <row r="2" spans="1:11" ht="18" customHeight="1" x14ac:dyDescent="0.2">
      <c r="A2" s="19"/>
    </row>
    <row r="3" spans="1:11" ht="11.25" customHeight="1" x14ac:dyDescent="0.2">
      <c r="A3" s="221" t="s">
        <v>34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1" x14ac:dyDescent="0.2">
      <c r="A4" s="15"/>
      <c r="B4" s="15"/>
      <c r="C4" s="15"/>
      <c r="D4" s="15"/>
      <c r="E4" s="15"/>
      <c r="F4" s="20"/>
      <c r="G4" s="20"/>
      <c r="H4" s="20"/>
      <c r="I4" s="20"/>
    </row>
    <row r="5" spans="1:11" ht="18" customHeight="1" x14ac:dyDescent="0.2">
      <c r="A5" s="221" t="s">
        <v>15</v>
      </c>
      <c r="B5" s="221"/>
      <c r="C5" s="221"/>
      <c r="D5" s="221"/>
      <c r="E5" s="221"/>
      <c r="F5" s="221"/>
      <c r="G5" s="221"/>
      <c r="H5" s="221"/>
      <c r="I5" s="221"/>
      <c r="J5" s="221"/>
    </row>
    <row r="6" spans="1:11" x14ac:dyDescent="0.2">
      <c r="A6" s="15"/>
      <c r="B6" s="15"/>
      <c r="C6" s="15"/>
      <c r="D6" s="15"/>
      <c r="E6" s="15"/>
      <c r="F6" s="20"/>
      <c r="G6" s="21"/>
      <c r="H6" s="21"/>
      <c r="I6" s="21"/>
    </row>
    <row r="7" spans="1:11" ht="11.25" customHeight="1" x14ac:dyDescent="0.2">
      <c r="A7" s="221" t="s">
        <v>1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1" x14ac:dyDescent="0.2">
      <c r="A8" s="15"/>
      <c r="B8" s="15"/>
      <c r="C8" s="15"/>
      <c r="D8" s="15"/>
      <c r="E8" s="22"/>
      <c r="F8" s="22"/>
      <c r="G8" s="22"/>
      <c r="H8" s="22"/>
      <c r="I8" s="22"/>
    </row>
    <row r="9" spans="1:11" ht="22.5" x14ac:dyDescent="0.2">
      <c r="A9" s="23" t="s">
        <v>16</v>
      </c>
      <c r="B9" s="23" t="s">
        <v>17</v>
      </c>
      <c r="C9" s="23" t="s">
        <v>18</v>
      </c>
      <c r="D9" s="23" t="s">
        <v>14</v>
      </c>
      <c r="E9" s="23" t="s">
        <v>45</v>
      </c>
      <c r="F9" s="23" t="s">
        <v>113</v>
      </c>
      <c r="G9" s="23" t="s">
        <v>45</v>
      </c>
      <c r="H9" s="23" t="s">
        <v>113</v>
      </c>
      <c r="I9" s="23" t="s">
        <v>114</v>
      </c>
      <c r="J9" s="72" t="s">
        <v>117</v>
      </c>
    </row>
    <row r="10" spans="1:11" ht="28.5" customHeight="1" x14ac:dyDescent="0.2">
      <c r="A10" s="219" t="s">
        <v>62</v>
      </c>
      <c r="B10" s="220"/>
      <c r="C10" s="220"/>
      <c r="D10" s="67"/>
      <c r="E10" s="68">
        <f>E11+E30</f>
        <v>19591825.629999999</v>
      </c>
      <c r="F10" s="68">
        <f>F11+F30</f>
        <v>2868373.1199999992</v>
      </c>
      <c r="G10" s="68">
        <f>G11+G30</f>
        <v>22460198.75</v>
      </c>
      <c r="H10" s="68">
        <f>I10-G10</f>
        <v>141458.17000000179</v>
      </c>
      <c r="I10" s="68">
        <f>SUM(I11,I30)</f>
        <v>22601656.920000002</v>
      </c>
      <c r="J10" s="69">
        <f>I10/G10</f>
        <v>1.0062981708921876</v>
      </c>
    </row>
    <row r="11" spans="1:11" s="28" customFormat="1" ht="26.25" customHeight="1" x14ac:dyDescent="0.2">
      <c r="A11" s="25">
        <v>6</v>
      </c>
      <c r="B11" s="25"/>
      <c r="C11" s="25"/>
      <c r="D11" s="25" t="s">
        <v>19</v>
      </c>
      <c r="E11" s="26">
        <f>E12+E17+E19+E22+E28+E15</f>
        <v>19591560.18</v>
      </c>
      <c r="F11" s="26">
        <f t="shared" ref="F11" si="0">F12+F17+F19+F22+F28+F15</f>
        <v>2858338.5699999994</v>
      </c>
      <c r="G11" s="26">
        <f>G12+G17+G19+G22+G28+G15</f>
        <v>22449898.75</v>
      </c>
      <c r="H11" s="26">
        <f>I11-G11</f>
        <v>141458.17000000179</v>
      </c>
      <c r="I11" s="26">
        <f>SUM(I12,I15,I17,I19,I22,I28)</f>
        <v>22591356.920000002</v>
      </c>
      <c r="J11" s="70">
        <f>I11/G11</f>
        <v>1.0063010604891927</v>
      </c>
      <c r="K11" s="27"/>
    </row>
    <row r="12" spans="1:11" s="32" customFormat="1" ht="33.75" x14ac:dyDescent="0.2">
      <c r="A12" s="29"/>
      <c r="B12" s="29">
        <v>63</v>
      </c>
      <c r="C12" s="89"/>
      <c r="D12" s="89" t="s">
        <v>47</v>
      </c>
      <c r="E12" s="51">
        <f>E13+E14</f>
        <v>1223571.57</v>
      </c>
      <c r="F12" s="51">
        <f>F13+F14</f>
        <v>1173276.25</v>
      </c>
      <c r="G12" s="51">
        <f>G13+G14</f>
        <v>2396847.8200000003</v>
      </c>
      <c r="H12" s="51">
        <f>I12-G12</f>
        <v>-543848.2200000002</v>
      </c>
      <c r="I12" s="51">
        <f>SUM(I13:I14)</f>
        <v>1852999.6</v>
      </c>
      <c r="J12" s="71">
        <f>I12/G12</f>
        <v>0.7730985607588553</v>
      </c>
      <c r="K12" s="31"/>
    </row>
    <row r="13" spans="1:11" s="38" customFormat="1" x14ac:dyDescent="0.2">
      <c r="A13" s="33"/>
      <c r="B13" s="33"/>
      <c r="C13" s="92" t="s">
        <v>129</v>
      </c>
      <c r="D13" s="35" t="s">
        <v>65</v>
      </c>
      <c r="E13" s="52">
        <v>1071603.97</v>
      </c>
      <c r="F13" s="52">
        <f>G13-E13</f>
        <v>804965.62000000011</v>
      </c>
      <c r="G13" s="52">
        <v>1876569.59</v>
      </c>
      <c r="H13" s="52">
        <f t="shared" ref="H13:H29" si="1">I13-G13</f>
        <v>-471238.22</v>
      </c>
      <c r="I13" s="52">
        <v>1405331.37</v>
      </c>
      <c r="J13" s="71">
        <f t="shared" ref="J13:J29" si="2">I13/G13</f>
        <v>0.74888316292069934</v>
      </c>
      <c r="K13" s="37"/>
    </row>
    <row r="14" spans="1:11" s="38" customFormat="1" x14ac:dyDescent="0.2">
      <c r="A14" s="33"/>
      <c r="B14" s="33"/>
      <c r="C14" s="92" t="s">
        <v>130</v>
      </c>
      <c r="D14" s="6" t="s">
        <v>56</v>
      </c>
      <c r="E14" s="52">
        <v>151967.6</v>
      </c>
      <c r="F14" s="52">
        <f>G14-E14</f>
        <v>368310.63</v>
      </c>
      <c r="G14" s="52">
        <v>520278.23</v>
      </c>
      <c r="H14" s="52">
        <f t="shared" si="1"/>
        <v>-72610</v>
      </c>
      <c r="I14" s="52">
        <v>447668.23</v>
      </c>
      <c r="J14" s="71">
        <f t="shared" si="2"/>
        <v>0.86044005723629835</v>
      </c>
      <c r="K14" s="37"/>
    </row>
    <row r="15" spans="1:11" s="32" customFormat="1" x14ac:dyDescent="0.2">
      <c r="A15" s="39"/>
      <c r="B15" s="39">
        <v>64</v>
      </c>
      <c r="C15" s="94"/>
      <c r="D15" s="95" t="s">
        <v>52</v>
      </c>
      <c r="E15" s="51">
        <f>E16</f>
        <v>132.72</v>
      </c>
      <c r="F15" s="51">
        <f t="shared" ref="F15:G15" si="3">F16</f>
        <v>-112.72</v>
      </c>
      <c r="G15" s="51">
        <f t="shared" si="3"/>
        <v>20</v>
      </c>
      <c r="H15" s="51">
        <f t="shared" si="1"/>
        <v>0</v>
      </c>
      <c r="I15" s="51">
        <f>SUM(I16)</f>
        <v>20</v>
      </c>
      <c r="J15" s="71">
        <f t="shared" si="2"/>
        <v>1</v>
      </c>
      <c r="K15" s="31"/>
    </row>
    <row r="16" spans="1:11" s="38" customFormat="1" x14ac:dyDescent="0.2">
      <c r="A16" s="33"/>
      <c r="B16" s="33"/>
      <c r="C16" s="92" t="s">
        <v>131</v>
      </c>
      <c r="D16" s="35" t="s">
        <v>39</v>
      </c>
      <c r="E16" s="52">
        <v>132.72</v>
      </c>
      <c r="F16" s="52">
        <f>G16-E16</f>
        <v>-112.72</v>
      </c>
      <c r="G16" s="52">
        <v>20</v>
      </c>
      <c r="H16" s="52">
        <f t="shared" si="1"/>
        <v>0</v>
      </c>
      <c r="I16" s="52">
        <v>20</v>
      </c>
      <c r="J16" s="71">
        <f t="shared" si="2"/>
        <v>1</v>
      </c>
      <c r="K16" s="37"/>
    </row>
    <row r="17" spans="1:11" s="32" customFormat="1" ht="45" x14ac:dyDescent="0.2">
      <c r="A17" s="39"/>
      <c r="B17" s="39">
        <v>65</v>
      </c>
      <c r="C17" s="95"/>
      <c r="D17" s="96" t="s">
        <v>58</v>
      </c>
      <c r="E17" s="51">
        <f>E18</f>
        <v>13272.28</v>
      </c>
      <c r="F17" s="51">
        <f t="shared" ref="F17:G17" si="4">F18</f>
        <v>5727.7199999999993</v>
      </c>
      <c r="G17" s="51">
        <f t="shared" si="4"/>
        <v>19000</v>
      </c>
      <c r="H17" s="51">
        <f t="shared" si="1"/>
        <v>0</v>
      </c>
      <c r="I17" s="51">
        <f>SUM(I18)</f>
        <v>19000</v>
      </c>
      <c r="J17" s="71">
        <f t="shared" si="2"/>
        <v>1</v>
      </c>
      <c r="K17" s="31"/>
    </row>
    <row r="18" spans="1:11" s="38" customFormat="1" ht="22.5" x14ac:dyDescent="0.2">
      <c r="A18" s="33"/>
      <c r="B18" s="39"/>
      <c r="C18" s="92" t="s">
        <v>132</v>
      </c>
      <c r="D18" s="44" t="s">
        <v>21</v>
      </c>
      <c r="E18" s="52">
        <v>13272.28</v>
      </c>
      <c r="F18" s="52">
        <f>G18-E18</f>
        <v>5727.7199999999993</v>
      </c>
      <c r="G18" s="52">
        <v>19000</v>
      </c>
      <c r="H18" s="52">
        <f t="shared" si="1"/>
        <v>0</v>
      </c>
      <c r="I18" s="52">
        <v>19000</v>
      </c>
      <c r="J18" s="71">
        <f t="shared" si="2"/>
        <v>1</v>
      </c>
      <c r="K18" s="37"/>
    </row>
    <row r="19" spans="1:11" s="32" customFormat="1" ht="45" x14ac:dyDescent="0.2">
      <c r="A19" s="39"/>
      <c r="B19" s="39">
        <v>66</v>
      </c>
      <c r="C19" s="94"/>
      <c r="D19" s="96" t="s">
        <v>57</v>
      </c>
      <c r="E19" s="51">
        <f>E20</f>
        <v>265445.61</v>
      </c>
      <c r="F19" s="51">
        <f>F20</f>
        <v>34554.390000000014</v>
      </c>
      <c r="G19" s="51">
        <f>G20</f>
        <v>300000</v>
      </c>
      <c r="H19" s="51">
        <f t="shared" si="1"/>
        <v>-120</v>
      </c>
      <c r="I19" s="51">
        <f>I20+I21</f>
        <v>299880</v>
      </c>
      <c r="J19" s="71">
        <f t="shared" si="2"/>
        <v>0.99960000000000004</v>
      </c>
      <c r="K19" s="31"/>
    </row>
    <row r="20" spans="1:11" s="38" customFormat="1" x14ac:dyDescent="0.2">
      <c r="A20" s="33"/>
      <c r="B20" s="39"/>
      <c r="C20" s="92" t="s">
        <v>131</v>
      </c>
      <c r="D20" s="35" t="s">
        <v>39</v>
      </c>
      <c r="E20" s="52">
        <v>265445.61</v>
      </c>
      <c r="F20" s="52">
        <f>G20-E20</f>
        <v>34554.390000000014</v>
      </c>
      <c r="G20" s="52">
        <v>300000</v>
      </c>
      <c r="H20" s="52">
        <f t="shared" si="1"/>
        <v>-2020</v>
      </c>
      <c r="I20" s="52">
        <v>297980</v>
      </c>
      <c r="J20" s="71">
        <f t="shared" si="2"/>
        <v>0.99326666666666663</v>
      </c>
      <c r="K20" s="37"/>
    </row>
    <row r="21" spans="1:11" s="38" customFormat="1" x14ac:dyDescent="0.2">
      <c r="A21" s="33"/>
      <c r="B21" s="39"/>
      <c r="C21" s="97" t="s">
        <v>124</v>
      </c>
      <c r="D21" s="35" t="s">
        <v>125</v>
      </c>
      <c r="E21" s="52"/>
      <c r="F21" s="52"/>
      <c r="G21" s="52">
        <v>0</v>
      </c>
      <c r="H21" s="52">
        <f t="shared" si="1"/>
        <v>1900</v>
      </c>
      <c r="I21" s="52">
        <v>1900</v>
      </c>
      <c r="J21" s="71"/>
      <c r="K21" s="37"/>
    </row>
    <row r="22" spans="1:11" s="32" customFormat="1" ht="33.75" x14ac:dyDescent="0.2">
      <c r="A22" s="39"/>
      <c r="B22" s="39">
        <v>67</v>
      </c>
      <c r="C22" s="95"/>
      <c r="D22" s="89" t="s">
        <v>48</v>
      </c>
      <c r="E22" s="51">
        <f>E23+E24+E25+E27</f>
        <v>18087810.77</v>
      </c>
      <c r="F22" s="51">
        <f>F23+F24+F25+F27+F26</f>
        <v>1644220.1599999995</v>
      </c>
      <c r="G22" s="51">
        <f>G23+G24+G25+G27+G26</f>
        <v>19732030.93</v>
      </c>
      <c r="H22" s="51">
        <f t="shared" si="1"/>
        <v>685426.3900000006</v>
      </c>
      <c r="I22" s="51">
        <f>SUM(I23:I27)</f>
        <v>20417457.32</v>
      </c>
      <c r="J22" s="71">
        <f t="shared" si="2"/>
        <v>1.0347367380697696</v>
      </c>
      <c r="K22" s="31"/>
    </row>
    <row r="23" spans="1:11" s="38" customFormat="1" x14ac:dyDescent="0.2">
      <c r="A23" s="33"/>
      <c r="B23" s="33"/>
      <c r="C23" s="35" t="s">
        <v>156</v>
      </c>
      <c r="D23" s="43" t="s">
        <v>20</v>
      </c>
      <c r="E23" s="52">
        <v>1055241.8899999999</v>
      </c>
      <c r="F23" s="52">
        <f>G23-E23</f>
        <v>0</v>
      </c>
      <c r="G23" s="52">
        <v>1055241.8899999999</v>
      </c>
      <c r="H23" s="52">
        <f t="shared" si="1"/>
        <v>273558.94000000018</v>
      </c>
      <c r="I23" s="52">
        <v>1328800.83</v>
      </c>
      <c r="J23" s="71">
        <f t="shared" si="2"/>
        <v>1.259238135438312</v>
      </c>
      <c r="K23" s="37"/>
    </row>
    <row r="24" spans="1:11" s="38" customFormat="1" ht="25.5" customHeight="1" x14ac:dyDescent="0.2">
      <c r="A24" s="33"/>
      <c r="B24" s="33"/>
      <c r="C24" s="35" t="s">
        <v>157</v>
      </c>
      <c r="D24" s="83" t="s">
        <v>59</v>
      </c>
      <c r="E24" s="52">
        <v>1656303.27</v>
      </c>
      <c r="F24" s="52">
        <f>G24-E24</f>
        <v>0.52000000001862645</v>
      </c>
      <c r="G24" s="52">
        <v>1656303.79</v>
      </c>
      <c r="H24" s="52">
        <f t="shared" si="1"/>
        <v>0</v>
      </c>
      <c r="I24" s="52">
        <v>1656303.79</v>
      </c>
      <c r="J24" s="71">
        <f t="shared" si="2"/>
        <v>1</v>
      </c>
      <c r="K24" s="37"/>
    </row>
    <row r="25" spans="1:11" s="38" customFormat="1" x14ac:dyDescent="0.2">
      <c r="A25" s="33"/>
      <c r="B25" s="33"/>
      <c r="C25" s="35" t="s">
        <v>60</v>
      </c>
      <c r="D25" s="6" t="s">
        <v>53</v>
      </c>
      <c r="E25" s="52">
        <v>26530</v>
      </c>
      <c r="F25" s="52">
        <f>G25-E25</f>
        <v>0</v>
      </c>
      <c r="G25" s="52">
        <v>26530</v>
      </c>
      <c r="H25" s="52">
        <f t="shared" si="1"/>
        <v>0</v>
      </c>
      <c r="I25" s="52">
        <v>26530</v>
      </c>
      <c r="J25" s="71">
        <f t="shared" si="2"/>
        <v>1</v>
      </c>
      <c r="K25" s="37"/>
    </row>
    <row r="26" spans="1:11" s="38" customFormat="1" ht="22.5" customHeight="1" x14ac:dyDescent="0.2">
      <c r="A26" s="33"/>
      <c r="B26" s="33"/>
      <c r="C26" s="35" t="s">
        <v>115</v>
      </c>
      <c r="D26" s="83" t="s">
        <v>116</v>
      </c>
      <c r="E26" s="52"/>
      <c r="F26" s="52">
        <f>G26-E26</f>
        <v>13272.28</v>
      </c>
      <c r="G26" s="52">
        <v>13272.28</v>
      </c>
      <c r="H26" s="52">
        <f t="shared" si="1"/>
        <v>0</v>
      </c>
      <c r="I26" s="52">
        <v>13272.28</v>
      </c>
      <c r="J26" s="71">
        <f t="shared" si="2"/>
        <v>1</v>
      </c>
      <c r="K26" s="37"/>
    </row>
    <row r="27" spans="1:11" s="38" customFormat="1" ht="22.5" x14ac:dyDescent="0.2">
      <c r="A27" s="33"/>
      <c r="B27" s="33"/>
      <c r="C27" s="35" t="s">
        <v>159</v>
      </c>
      <c r="D27" s="44" t="s">
        <v>63</v>
      </c>
      <c r="E27" s="52">
        <v>15349735.609999999</v>
      </c>
      <c r="F27" s="52">
        <f>G27-E27</f>
        <v>1630947.3599999994</v>
      </c>
      <c r="G27" s="52">
        <v>16980682.969999999</v>
      </c>
      <c r="H27" s="52">
        <f t="shared" si="1"/>
        <v>411867.45000000298</v>
      </c>
      <c r="I27" s="52">
        <v>17392550.420000002</v>
      </c>
      <c r="J27" s="71">
        <f t="shared" si="2"/>
        <v>1.0242550579813341</v>
      </c>
      <c r="K27" s="37"/>
    </row>
    <row r="28" spans="1:11" s="32" customFormat="1" ht="22.5" x14ac:dyDescent="0.2">
      <c r="A28" s="39"/>
      <c r="B28" s="39">
        <v>68</v>
      </c>
      <c r="C28" s="95"/>
      <c r="D28" s="45" t="s">
        <v>61</v>
      </c>
      <c r="E28" s="51">
        <f>E29</f>
        <v>1327.23</v>
      </c>
      <c r="F28" s="51">
        <f t="shared" ref="F28:G28" si="5">F29</f>
        <v>672.77</v>
      </c>
      <c r="G28" s="51">
        <f t="shared" si="5"/>
        <v>2000</v>
      </c>
      <c r="H28" s="51">
        <f t="shared" si="1"/>
        <v>0</v>
      </c>
      <c r="I28" s="51">
        <f>SUM(I29)</f>
        <v>2000</v>
      </c>
      <c r="J28" s="71">
        <f t="shared" si="2"/>
        <v>1</v>
      </c>
      <c r="K28" s="31"/>
    </row>
    <row r="29" spans="1:11" x14ac:dyDescent="0.2">
      <c r="A29" s="33"/>
      <c r="B29" s="33"/>
      <c r="C29" s="92" t="s">
        <v>131</v>
      </c>
      <c r="D29" s="35" t="s">
        <v>39</v>
      </c>
      <c r="E29" s="87">
        <v>1327.23</v>
      </c>
      <c r="F29" s="87">
        <f>G29-E29</f>
        <v>672.77</v>
      </c>
      <c r="G29" s="87">
        <v>2000</v>
      </c>
      <c r="H29" s="52">
        <f t="shared" si="1"/>
        <v>0</v>
      </c>
      <c r="I29" s="87">
        <v>2000</v>
      </c>
      <c r="J29" s="71">
        <f t="shared" si="2"/>
        <v>1</v>
      </c>
    </row>
    <row r="30" spans="1:11" s="28" customFormat="1" ht="22.5" x14ac:dyDescent="0.2">
      <c r="A30" s="46">
        <v>7</v>
      </c>
      <c r="B30" s="46"/>
      <c r="C30" s="46"/>
      <c r="D30" s="47" t="s">
        <v>21</v>
      </c>
      <c r="E30" s="26">
        <f>E31</f>
        <v>265.45</v>
      </c>
      <c r="F30" s="26">
        <f t="shared" ref="F30" si="6">F31</f>
        <v>10034.549999999999</v>
      </c>
      <c r="G30" s="26">
        <f>G31</f>
        <v>10300</v>
      </c>
      <c r="H30" s="26">
        <f>I30-G30</f>
        <v>0</v>
      </c>
      <c r="I30" s="26">
        <f>SUM(I31)</f>
        <v>10300</v>
      </c>
      <c r="J30" s="70">
        <f>I30/G30</f>
        <v>1</v>
      </c>
      <c r="K30" s="27"/>
    </row>
    <row r="31" spans="1:11" s="28" customFormat="1" ht="33.75" x14ac:dyDescent="0.2">
      <c r="A31" s="29"/>
      <c r="B31" s="29">
        <v>72</v>
      </c>
      <c r="C31" s="89"/>
      <c r="D31" s="90" t="s">
        <v>46</v>
      </c>
      <c r="E31" s="91">
        <f>E32</f>
        <v>265.45</v>
      </c>
      <c r="F31" s="91">
        <f t="shared" ref="F31:G31" si="7">F32</f>
        <v>10034.549999999999</v>
      </c>
      <c r="G31" s="91">
        <f t="shared" si="7"/>
        <v>10300</v>
      </c>
      <c r="H31" s="91">
        <f>I31-G31</f>
        <v>0</v>
      </c>
      <c r="I31" s="91">
        <f>SUM(I32)</f>
        <v>10300</v>
      </c>
      <c r="J31" s="71">
        <f>I31/G31</f>
        <v>1</v>
      </c>
      <c r="K31" s="27"/>
    </row>
    <row r="32" spans="1:11" ht="22.5" x14ac:dyDescent="0.2">
      <c r="A32" s="49"/>
      <c r="B32" s="49"/>
      <c r="C32" s="92" t="s">
        <v>132</v>
      </c>
      <c r="D32" s="44" t="s">
        <v>21</v>
      </c>
      <c r="E32" s="87">
        <v>265.45</v>
      </c>
      <c r="F32" s="87">
        <f>G32-E32</f>
        <v>10034.549999999999</v>
      </c>
      <c r="G32" s="93">
        <v>10300</v>
      </c>
      <c r="H32" s="87">
        <f>I32-G32</f>
        <v>0</v>
      </c>
      <c r="I32" s="93">
        <v>10300</v>
      </c>
      <c r="J32" s="71">
        <f>I32/G32</f>
        <v>1</v>
      </c>
    </row>
    <row r="34" spans="1:11" ht="11.25" customHeight="1" x14ac:dyDescent="0.2">
      <c r="A34" s="221" t="s">
        <v>22</v>
      </c>
      <c r="B34" s="221"/>
      <c r="C34" s="221"/>
      <c r="D34" s="221"/>
      <c r="E34" s="221"/>
      <c r="F34" s="221"/>
      <c r="G34" s="221"/>
      <c r="H34" s="221"/>
      <c r="I34" s="221"/>
      <c r="J34" s="221"/>
    </row>
    <row r="35" spans="1:11" x14ac:dyDescent="0.2">
      <c r="A35" s="15"/>
      <c r="B35" s="15"/>
      <c r="C35" s="15"/>
      <c r="D35" s="15"/>
      <c r="E35" s="22"/>
      <c r="F35" s="22"/>
      <c r="G35" s="22"/>
      <c r="H35" s="22"/>
      <c r="I35" s="22"/>
    </row>
    <row r="36" spans="1:11" ht="22.5" x14ac:dyDescent="0.2">
      <c r="A36" s="23" t="s">
        <v>16</v>
      </c>
      <c r="B36" s="24" t="s">
        <v>17</v>
      </c>
      <c r="C36" s="24" t="s">
        <v>18</v>
      </c>
      <c r="D36" s="24" t="s">
        <v>23</v>
      </c>
      <c r="E36" s="23" t="s">
        <v>45</v>
      </c>
      <c r="F36" s="23" t="s">
        <v>113</v>
      </c>
      <c r="G36" s="23" t="s">
        <v>114</v>
      </c>
      <c r="H36" s="23" t="s">
        <v>113</v>
      </c>
      <c r="I36" s="23" t="s">
        <v>114</v>
      </c>
      <c r="J36" s="72" t="s">
        <v>117</v>
      </c>
    </row>
    <row r="37" spans="1:11" ht="23.25" customHeight="1" x14ac:dyDescent="0.2">
      <c r="A37" s="216" t="s">
        <v>64</v>
      </c>
      <c r="B37" s="217"/>
      <c r="C37" s="218"/>
      <c r="D37" s="66"/>
      <c r="E37" s="68">
        <f>E38+E58</f>
        <v>19591825.629999999</v>
      </c>
      <c r="F37" s="68">
        <f>F38+F58</f>
        <v>2827322.6400000006</v>
      </c>
      <c r="G37" s="68">
        <f>G38+G58</f>
        <v>22419148.270000003</v>
      </c>
      <c r="H37" s="68">
        <f>I37-G37</f>
        <v>141458.16999999806</v>
      </c>
      <c r="I37" s="68">
        <f>SUM(I38,I58)</f>
        <v>22560606.440000001</v>
      </c>
      <c r="J37" s="69">
        <f>I37/G37</f>
        <v>1.0063097031295025</v>
      </c>
    </row>
    <row r="38" spans="1:11" s="28" customFormat="1" ht="24.75" customHeight="1" x14ac:dyDescent="0.2">
      <c r="A38" s="25">
        <v>3</v>
      </c>
      <c r="B38" s="25"/>
      <c r="C38" s="25"/>
      <c r="D38" s="25" t="s">
        <v>24</v>
      </c>
      <c r="E38" s="50">
        <f>E39+E45+E55</f>
        <v>18338428.579999998</v>
      </c>
      <c r="F38" s="50">
        <f>F39+F45+F55</f>
        <v>2755847.0200000005</v>
      </c>
      <c r="G38" s="50">
        <f>G39+G45+G55</f>
        <v>21094275.600000001</v>
      </c>
      <c r="H38" s="50">
        <f>I38-G38</f>
        <v>136783.33999999985</v>
      </c>
      <c r="I38" s="50">
        <f>SUM(I39,I45,I55)</f>
        <v>21231058.940000001</v>
      </c>
      <c r="J38" s="70">
        <f>I38/G38</f>
        <v>1.0064843819524194</v>
      </c>
      <c r="K38" s="27"/>
    </row>
    <row r="39" spans="1:11" s="28" customFormat="1" ht="15.75" customHeight="1" x14ac:dyDescent="0.2">
      <c r="A39" s="29"/>
      <c r="B39" s="29">
        <v>31</v>
      </c>
      <c r="C39" s="29"/>
      <c r="D39" s="29" t="s">
        <v>25</v>
      </c>
      <c r="E39" s="51">
        <f>SUM(E40:E44)</f>
        <v>14702236.379999999</v>
      </c>
      <c r="F39" s="30">
        <f>SUM(F40:F44)</f>
        <v>2694763.6200000006</v>
      </c>
      <c r="G39" s="51">
        <f>SUM(G40:G44)</f>
        <v>17397000</v>
      </c>
      <c r="H39" s="51">
        <f>I39-G39</f>
        <v>486558.94000000134</v>
      </c>
      <c r="I39" s="245">
        <f>SUM(I40:I44)</f>
        <v>17883558.940000001</v>
      </c>
      <c r="J39" s="71">
        <f>I39/G39</f>
        <v>1.0279679795367018</v>
      </c>
      <c r="K39" s="27"/>
    </row>
    <row r="40" spans="1:11" x14ac:dyDescent="0.2">
      <c r="A40" s="33"/>
      <c r="B40" s="33"/>
      <c r="C40" s="33" t="s">
        <v>156</v>
      </c>
      <c r="D40" s="43" t="s">
        <v>20</v>
      </c>
      <c r="E40" s="52">
        <f>638529.43+91578.74+12608.67</f>
        <v>742716.84000000008</v>
      </c>
      <c r="F40" s="36">
        <f>G40-E40</f>
        <v>14657.479999999981</v>
      </c>
      <c r="G40" s="52">
        <f>653186.91+91578.74+12608.67</f>
        <v>757374.32000000007</v>
      </c>
      <c r="H40" s="52">
        <f t="shared" ref="H40:H57" si="8">I40-G40</f>
        <v>254947.17999999993</v>
      </c>
      <c r="I40" s="246">
        <f>943000+69321.5+0</f>
        <v>1012321.5</v>
      </c>
      <c r="J40" s="71">
        <f t="shared" ref="J40:J57" si="9">I40/G40</f>
        <v>1.3366197839926761</v>
      </c>
    </row>
    <row r="41" spans="1:11" x14ac:dyDescent="0.2">
      <c r="A41" s="33"/>
      <c r="B41" s="33"/>
      <c r="C41" s="34" t="s">
        <v>131</v>
      </c>
      <c r="D41" s="33" t="s">
        <v>39</v>
      </c>
      <c r="E41" s="52">
        <f>92109.63+6105.25</f>
        <v>98214.88</v>
      </c>
      <c r="F41" s="36">
        <f>G41-E41</f>
        <v>45715.119999999995</v>
      </c>
      <c r="G41" s="52">
        <f>141930+2000</f>
        <v>143930</v>
      </c>
      <c r="H41" s="52">
        <f t="shared" si="8"/>
        <v>27619.309999999998</v>
      </c>
      <c r="I41" s="246">
        <f>81549.31+88000+2000</f>
        <v>171549.31</v>
      </c>
      <c r="J41" s="71">
        <f t="shared" si="9"/>
        <v>1.1918940457166678</v>
      </c>
    </row>
    <row r="42" spans="1:11" ht="22.5" x14ac:dyDescent="0.2">
      <c r="A42" s="33"/>
      <c r="B42" s="33"/>
      <c r="C42" s="33" t="s">
        <v>159</v>
      </c>
      <c r="D42" s="44" t="s">
        <v>63</v>
      </c>
      <c r="E42" s="52">
        <f>12484836.42+267436.45</f>
        <v>12752272.869999999</v>
      </c>
      <c r="F42" s="36">
        <f>G42-E42</f>
        <v>1642792.8100000005</v>
      </c>
      <c r="G42" s="52">
        <f>13910076.68+484989</f>
        <v>14395065.68</v>
      </c>
      <c r="H42" s="52">
        <f t="shared" si="8"/>
        <v>752470.46000000089</v>
      </c>
      <c r="I42" s="246">
        <f>14662144.25+485391.89</f>
        <v>15147536.140000001</v>
      </c>
      <c r="J42" s="71">
        <f t="shared" si="9"/>
        <v>1.0522728049129679</v>
      </c>
    </row>
    <row r="43" spans="1:11" x14ac:dyDescent="0.2">
      <c r="A43" s="33"/>
      <c r="B43" s="33"/>
      <c r="C43" s="34" t="s">
        <v>129</v>
      </c>
      <c r="D43" s="35" t="s">
        <v>65</v>
      </c>
      <c r="E43" s="52">
        <f>281637.8+70873.98+23226.5+601632.49</f>
        <v>977370.77</v>
      </c>
      <c r="F43" s="36">
        <f>G43-E43</f>
        <v>718889.23</v>
      </c>
      <c r="G43" s="52">
        <f>824000+78910+43350+750000</f>
        <v>1696260</v>
      </c>
      <c r="H43" s="52">
        <f t="shared" si="8"/>
        <v>-485758.01</v>
      </c>
      <c r="I43" s="246">
        <f>353387.91+83264.08+23850+750000</f>
        <v>1210501.99</v>
      </c>
      <c r="J43" s="71">
        <f t="shared" si="9"/>
        <v>0.7136299800738094</v>
      </c>
    </row>
    <row r="44" spans="1:11" x14ac:dyDescent="0.2">
      <c r="A44" s="33"/>
      <c r="B44" s="33"/>
      <c r="C44" s="34" t="s">
        <v>130</v>
      </c>
      <c r="D44" s="86" t="s">
        <v>56</v>
      </c>
      <c r="E44" s="52">
        <v>131661.01999999999</v>
      </c>
      <c r="F44" s="36">
        <f>G44-E44</f>
        <v>272708.98</v>
      </c>
      <c r="G44" s="52">
        <f>135150+221230+47990</f>
        <v>404370</v>
      </c>
      <c r="H44" s="52">
        <f t="shared" si="8"/>
        <v>-62720</v>
      </c>
      <c r="I44" s="246">
        <f>135150+170000+36500</f>
        <v>341650</v>
      </c>
      <c r="J44" s="71">
        <f t="shared" si="9"/>
        <v>0.84489452728936365</v>
      </c>
    </row>
    <row r="45" spans="1:11" s="28" customFormat="1" x14ac:dyDescent="0.2">
      <c r="A45" s="39"/>
      <c r="B45" s="39">
        <v>32</v>
      </c>
      <c r="C45" s="39"/>
      <c r="D45" s="39" t="s">
        <v>35</v>
      </c>
      <c r="E45" s="51">
        <f>SUM(E46:E54)</f>
        <v>3581775.8499999996</v>
      </c>
      <c r="F45" s="30">
        <f>SUM(F46:F54)</f>
        <v>56264.15000000014</v>
      </c>
      <c r="G45" s="51">
        <f t="shared" ref="G45" si="10">SUM(G46:G54)</f>
        <v>3638040</v>
      </c>
      <c r="H45" s="51">
        <f t="shared" si="8"/>
        <v>-337540</v>
      </c>
      <c r="I45" s="245">
        <f>SUM(I46:I54)</f>
        <v>3300500</v>
      </c>
      <c r="J45" s="71">
        <f t="shared" si="9"/>
        <v>0.90721927191564689</v>
      </c>
      <c r="K45" s="27"/>
    </row>
    <row r="46" spans="1:11" x14ac:dyDescent="0.2">
      <c r="A46" s="33"/>
      <c r="B46" s="33"/>
      <c r="C46" s="33" t="s">
        <v>156</v>
      </c>
      <c r="D46" s="43" t="s">
        <v>20</v>
      </c>
      <c r="E46" s="52">
        <f>83084.48+4247.13+663.61</f>
        <v>87995.22</v>
      </c>
      <c r="F46" s="36">
        <f t="shared" ref="F46:F54" si="11">G46-E46</f>
        <v>-14657.479999999996</v>
      </c>
      <c r="G46" s="52">
        <f>68427+4247.13+663.61</f>
        <v>73337.740000000005</v>
      </c>
      <c r="H46" s="52">
        <f t="shared" si="8"/>
        <v>18611.759999999995</v>
      </c>
      <c r="I46" s="246">
        <f>87000+4949.5</f>
        <v>91949.5</v>
      </c>
      <c r="J46" s="71">
        <f t="shared" si="9"/>
        <v>1.2537814773130449</v>
      </c>
    </row>
    <row r="47" spans="1:11" x14ac:dyDescent="0.2">
      <c r="A47" s="33"/>
      <c r="B47" s="39"/>
      <c r="C47" s="34" t="s">
        <v>131</v>
      </c>
      <c r="D47" s="33" t="s">
        <v>39</v>
      </c>
      <c r="E47" s="52">
        <f>99674.83+17253.96</f>
        <v>116928.79000000001</v>
      </c>
      <c r="F47" s="36">
        <f t="shared" si="11"/>
        <v>-1652.8300000000017</v>
      </c>
      <c r="G47" s="52">
        <f>105275.96+10000</f>
        <v>115275.96</v>
      </c>
      <c r="H47" s="52">
        <f t="shared" si="8"/>
        <v>-52451.960000000006</v>
      </c>
      <c r="I47" s="246">
        <f>50824+2000+10000</f>
        <v>62824</v>
      </c>
      <c r="J47" s="71">
        <f t="shared" si="9"/>
        <v>0.54498787084488387</v>
      </c>
    </row>
    <row r="48" spans="1:11" s="56" customFormat="1" x14ac:dyDescent="0.2">
      <c r="A48" s="53"/>
      <c r="B48" s="54"/>
      <c r="C48" s="33" t="s">
        <v>158</v>
      </c>
      <c r="D48" s="6" t="s">
        <v>53</v>
      </c>
      <c r="E48" s="52">
        <v>26530</v>
      </c>
      <c r="F48" s="36">
        <f t="shared" si="11"/>
        <v>0</v>
      </c>
      <c r="G48" s="52">
        <v>26530</v>
      </c>
      <c r="H48" s="52">
        <f t="shared" si="8"/>
        <v>-9999.4700000000012</v>
      </c>
      <c r="I48" s="246">
        <v>16530.53</v>
      </c>
      <c r="J48" s="71">
        <f t="shared" si="9"/>
        <v>0.62308820203543158</v>
      </c>
      <c r="K48" s="55"/>
    </row>
    <row r="49" spans="1:11" ht="28.5" customHeight="1" x14ac:dyDescent="0.2">
      <c r="A49" s="33"/>
      <c r="B49" s="39"/>
      <c r="C49" s="33" t="s">
        <v>157</v>
      </c>
      <c r="D49" s="83" t="s">
        <v>59</v>
      </c>
      <c r="E49" s="52">
        <v>640973.78</v>
      </c>
      <c r="F49" s="36">
        <f t="shared" si="11"/>
        <v>-29862.109999999986</v>
      </c>
      <c r="G49" s="52">
        <v>611111.67000000004</v>
      </c>
      <c r="H49" s="52">
        <f t="shared" si="8"/>
        <v>9372.890000000014</v>
      </c>
      <c r="I49" s="246">
        <v>620484.56000000006</v>
      </c>
      <c r="J49" s="71">
        <f t="shared" si="9"/>
        <v>1.0153374423368482</v>
      </c>
    </row>
    <row r="50" spans="1:11" ht="22.5" x14ac:dyDescent="0.2">
      <c r="A50" s="33"/>
      <c r="B50" s="39"/>
      <c r="C50" s="33" t="s">
        <v>159</v>
      </c>
      <c r="D50" s="44" t="s">
        <v>63</v>
      </c>
      <c r="E50" s="52">
        <f>2585517.69+11945.05</f>
        <v>2597462.7399999998</v>
      </c>
      <c r="F50" s="36">
        <f t="shared" si="11"/>
        <v>-36368.10999999987</v>
      </c>
      <c r="G50" s="52">
        <f>2549094.63+12000</f>
        <v>2561094.63</v>
      </c>
      <c r="H50" s="52">
        <f t="shared" si="8"/>
        <v>-340603.01000000024</v>
      </c>
      <c r="I50" s="246">
        <f>2208894.51+11597.11</f>
        <v>2220491.6199999996</v>
      </c>
      <c r="J50" s="71">
        <f t="shared" si="9"/>
        <v>0.86700881489880743</v>
      </c>
    </row>
    <row r="51" spans="1:11" x14ac:dyDescent="0.2">
      <c r="A51" s="33"/>
      <c r="B51" s="39"/>
      <c r="C51" s="34" t="s">
        <v>129</v>
      </c>
      <c r="D51" s="35" t="s">
        <v>65</v>
      </c>
      <c r="E51" s="52">
        <f>69414.03+5308.91+3583.52</f>
        <v>78306.460000000006</v>
      </c>
      <c r="F51" s="36">
        <f t="shared" si="11"/>
        <v>46643.539999999994</v>
      </c>
      <c r="G51" s="52">
        <f>111000+6300+7650</f>
        <v>124950</v>
      </c>
      <c r="H51" s="52">
        <f t="shared" si="8"/>
        <v>45519.790000000008</v>
      </c>
      <c r="I51" s="246">
        <f>160873.87+1945.92+7650</f>
        <v>170469.79</v>
      </c>
      <c r="J51" s="71">
        <f t="shared" si="9"/>
        <v>1.3643040416166468</v>
      </c>
    </row>
    <row r="52" spans="1:11" x14ac:dyDescent="0.2">
      <c r="A52" s="33"/>
      <c r="B52" s="39"/>
      <c r="C52" s="34" t="s">
        <v>130</v>
      </c>
      <c r="D52" s="6" t="s">
        <v>56</v>
      </c>
      <c r="E52" s="52">
        <v>20306.580000000002</v>
      </c>
      <c r="F52" s="36">
        <f t="shared" si="11"/>
        <v>86433.42</v>
      </c>
      <c r="G52" s="52">
        <f>23850+80370+2520</f>
        <v>106740</v>
      </c>
      <c r="H52" s="52">
        <f t="shared" si="8"/>
        <v>-9890</v>
      </c>
      <c r="I52" s="246">
        <f>43350+50000+3500</f>
        <v>96850</v>
      </c>
      <c r="J52" s="71">
        <f t="shared" si="9"/>
        <v>0.90734495034663665</v>
      </c>
    </row>
    <row r="53" spans="1:11" x14ac:dyDescent="0.2">
      <c r="A53" s="33"/>
      <c r="B53" s="39"/>
      <c r="C53" s="88" t="s">
        <v>124</v>
      </c>
      <c r="D53" s="6" t="s">
        <v>125</v>
      </c>
      <c r="E53" s="52"/>
      <c r="F53" s="36"/>
      <c r="G53" s="52">
        <v>0</v>
      </c>
      <c r="H53" s="52">
        <f t="shared" si="8"/>
        <v>1900</v>
      </c>
      <c r="I53" s="246">
        <v>1900</v>
      </c>
      <c r="J53" s="71"/>
    </row>
    <row r="54" spans="1:11" ht="22.5" x14ac:dyDescent="0.2">
      <c r="A54" s="33"/>
      <c r="B54" s="39"/>
      <c r="C54" s="34" t="s">
        <v>132</v>
      </c>
      <c r="D54" s="42" t="s">
        <v>21</v>
      </c>
      <c r="E54" s="52">
        <v>13272.28</v>
      </c>
      <c r="F54" s="36">
        <f t="shared" si="11"/>
        <v>5727.7199999999993</v>
      </c>
      <c r="G54" s="52">
        <v>19000</v>
      </c>
      <c r="H54" s="52">
        <f t="shared" si="8"/>
        <v>0</v>
      </c>
      <c r="I54" s="246">
        <v>19000</v>
      </c>
      <c r="J54" s="71">
        <f t="shared" si="9"/>
        <v>1</v>
      </c>
    </row>
    <row r="55" spans="1:11" s="28" customFormat="1" x14ac:dyDescent="0.2">
      <c r="A55" s="39"/>
      <c r="B55" s="39">
        <v>34</v>
      </c>
      <c r="C55" s="40"/>
      <c r="D55" s="41" t="s">
        <v>66</v>
      </c>
      <c r="E55" s="51">
        <f>E56+E57</f>
        <v>54416.35</v>
      </c>
      <c r="F55" s="30">
        <f>F56+F57</f>
        <v>4819.25</v>
      </c>
      <c r="G55" s="51">
        <f t="shared" ref="G55" si="12">G56+G57</f>
        <v>59235.6</v>
      </c>
      <c r="H55" s="51">
        <f t="shared" si="8"/>
        <v>-12235.599999999999</v>
      </c>
      <c r="I55" s="245">
        <f>SUM(I56:I57)</f>
        <v>47000</v>
      </c>
      <c r="J55" s="71">
        <f t="shared" si="9"/>
        <v>0.79344178163131629</v>
      </c>
      <c r="K55" s="84"/>
    </row>
    <row r="56" spans="1:11" x14ac:dyDescent="0.2">
      <c r="A56" s="33"/>
      <c r="B56" s="39"/>
      <c r="C56" s="34" t="s">
        <v>131</v>
      </c>
      <c r="D56" s="33" t="s">
        <v>39</v>
      </c>
      <c r="E56" s="52">
        <v>38489.61</v>
      </c>
      <c r="F56" s="36">
        <f>G56-E56</f>
        <v>-27254.010000000002</v>
      </c>
      <c r="G56" s="52">
        <v>11235.6</v>
      </c>
      <c r="H56" s="52">
        <f t="shared" si="8"/>
        <v>18764.400000000001</v>
      </c>
      <c r="I56" s="246">
        <v>30000</v>
      </c>
      <c r="J56" s="71">
        <f t="shared" si="9"/>
        <v>2.6700843746662395</v>
      </c>
    </row>
    <row r="57" spans="1:11" x14ac:dyDescent="0.2">
      <c r="A57" s="33"/>
      <c r="B57" s="39"/>
      <c r="C57" s="34" t="s">
        <v>129</v>
      </c>
      <c r="D57" s="35" t="s">
        <v>65</v>
      </c>
      <c r="E57" s="52">
        <v>15926.74</v>
      </c>
      <c r="F57" s="36">
        <f>G57-E57</f>
        <v>32073.260000000002</v>
      </c>
      <c r="G57" s="52">
        <v>48000</v>
      </c>
      <c r="H57" s="52">
        <f t="shared" si="8"/>
        <v>-31000</v>
      </c>
      <c r="I57" s="246">
        <v>17000</v>
      </c>
      <c r="J57" s="71">
        <f t="shared" si="9"/>
        <v>0.35416666666666669</v>
      </c>
    </row>
    <row r="58" spans="1:11" s="28" customFormat="1" ht="22.5" x14ac:dyDescent="0.2">
      <c r="A58" s="46">
        <v>4</v>
      </c>
      <c r="B58" s="46"/>
      <c r="C58" s="46"/>
      <c r="D58" s="47" t="s">
        <v>26</v>
      </c>
      <c r="E58" s="50">
        <f>E59+E62</f>
        <v>1253397.05</v>
      </c>
      <c r="F58" s="50">
        <f t="shared" ref="F58" si="13">F59+F62</f>
        <v>71475.62000000001</v>
      </c>
      <c r="G58" s="50">
        <f>G59+G62</f>
        <v>1324872.67</v>
      </c>
      <c r="H58" s="50">
        <f>I58-G58</f>
        <v>4674.8300000000745</v>
      </c>
      <c r="I58" s="50">
        <f>SUM(I59,I62)</f>
        <v>1329547.5</v>
      </c>
      <c r="J58" s="70">
        <f>I58/G58</f>
        <v>1.0035285126683156</v>
      </c>
      <c r="K58" s="27"/>
    </row>
    <row r="59" spans="1:11" s="28" customFormat="1" ht="33.75" x14ac:dyDescent="0.2">
      <c r="A59" s="29"/>
      <c r="B59" s="29">
        <v>41</v>
      </c>
      <c r="C59" s="29"/>
      <c r="D59" s="48" t="s">
        <v>27</v>
      </c>
      <c r="E59" s="51">
        <f>E60+E61</f>
        <v>240228.29</v>
      </c>
      <c r="F59" s="30">
        <f t="shared" ref="F59" si="14">F60+F61</f>
        <v>413.84000000000924</v>
      </c>
      <c r="G59" s="30">
        <f>G60+G61</f>
        <v>240642.13</v>
      </c>
      <c r="H59" s="30">
        <f>I59-G59</f>
        <v>-13642.130000000005</v>
      </c>
      <c r="I59" s="245">
        <f>SUM(I60:I61)</f>
        <v>227000</v>
      </c>
      <c r="J59" s="71">
        <f>I59/G59</f>
        <v>0.94330946954300976</v>
      </c>
      <c r="K59" s="27"/>
    </row>
    <row r="60" spans="1:11" x14ac:dyDescent="0.2">
      <c r="A60" s="49"/>
      <c r="B60" s="49"/>
      <c r="C60" s="34" t="s">
        <v>131</v>
      </c>
      <c r="D60" s="33" t="s">
        <v>39</v>
      </c>
      <c r="E60" s="52">
        <v>1327.23</v>
      </c>
      <c r="F60" s="36">
        <f>G60-E60</f>
        <v>-0.92000000000007276</v>
      </c>
      <c r="G60" s="57">
        <v>1326.31</v>
      </c>
      <c r="H60" s="36">
        <f t="shared" ref="H60:H68" si="15">I60-G60</f>
        <v>2094.2200000000003</v>
      </c>
      <c r="I60" s="247">
        <v>3420.53</v>
      </c>
      <c r="J60" s="71">
        <f t="shared" ref="J60:J68" si="16">I60/G60</f>
        <v>2.5789822892084056</v>
      </c>
    </row>
    <row r="61" spans="1:11" ht="28.5" customHeight="1" x14ac:dyDescent="0.2">
      <c r="A61" s="58"/>
      <c r="B61" s="58"/>
      <c r="C61" s="33" t="s">
        <v>157</v>
      </c>
      <c r="D61" s="83" t="s">
        <v>59</v>
      </c>
      <c r="E61" s="59">
        <v>238901.06</v>
      </c>
      <c r="F61" s="36">
        <f>G61-E61</f>
        <v>414.76000000000931</v>
      </c>
      <c r="G61" s="59">
        <v>239315.82</v>
      </c>
      <c r="H61" s="36">
        <f t="shared" si="15"/>
        <v>-15736.350000000006</v>
      </c>
      <c r="I61" s="248">
        <v>223579.47</v>
      </c>
      <c r="J61" s="71">
        <f t="shared" si="16"/>
        <v>0.93424442228683413</v>
      </c>
    </row>
    <row r="62" spans="1:11" s="62" customFormat="1" ht="33.75" x14ac:dyDescent="0.2">
      <c r="A62" s="7"/>
      <c r="B62" s="60">
        <v>42</v>
      </c>
      <c r="C62" s="7"/>
      <c r="D62" s="45" t="s">
        <v>49</v>
      </c>
      <c r="E62" s="8">
        <f>SUM(E63:E68)</f>
        <v>1013168.76</v>
      </c>
      <c r="F62" s="8">
        <f t="shared" ref="F62" si="17">SUM(F63:F68)</f>
        <v>71061.78</v>
      </c>
      <c r="G62" s="8">
        <f>SUM(G63:G68)</f>
        <v>1084230.54</v>
      </c>
      <c r="H62" s="30">
        <f t="shared" si="15"/>
        <v>18316.959999999963</v>
      </c>
      <c r="I62" s="249">
        <f>SUM(I63:I68)</f>
        <v>1102547.5</v>
      </c>
      <c r="J62" s="71">
        <f t="shared" si="16"/>
        <v>1.0168939716455505</v>
      </c>
      <c r="K62" s="61"/>
    </row>
    <row r="63" spans="1:11" s="56" customFormat="1" ht="14.25" customHeight="1" x14ac:dyDescent="0.2">
      <c r="A63" s="63"/>
      <c r="B63" s="58"/>
      <c r="C63" s="33" t="s">
        <v>156</v>
      </c>
      <c r="D63" s="43" t="s">
        <v>20</v>
      </c>
      <c r="E63" s="59">
        <v>224529.83</v>
      </c>
      <c r="F63" s="59">
        <f>G63-E63</f>
        <v>0</v>
      </c>
      <c r="G63" s="59">
        <v>224529.83</v>
      </c>
      <c r="H63" s="36">
        <f t="shared" si="15"/>
        <v>0</v>
      </c>
      <c r="I63" s="248">
        <v>224529.83</v>
      </c>
      <c r="J63" s="71">
        <f t="shared" si="16"/>
        <v>1</v>
      </c>
      <c r="K63" s="55"/>
    </row>
    <row r="64" spans="1:11" ht="14.25" customHeight="1" x14ac:dyDescent="0.2">
      <c r="A64" s="58"/>
      <c r="B64" s="58"/>
      <c r="C64" s="34" t="s">
        <v>131</v>
      </c>
      <c r="D64" s="33" t="s">
        <v>39</v>
      </c>
      <c r="E64" s="59">
        <v>11945.05</v>
      </c>
      <c r="F64" s="59">
        <f>G64-E64</f>
        <v>18307.080000000002</v>
      </c>
      <c r="G64" s="59">
        <f>30252.13</f>
        <v>30252.13</v>
      </c>
      <c r="H64" s="52">
        <f t="shared" si="15"/>
        <v>1954.0299999999988</v>
      </c>
      <c r="I64" s="248">
        <v>32206.16</v>
      </c>
      <c r="J64" s="71">
        <f t="shared" si="16"/>
        <v>1.0645914849632074</v>
      </c>
    </row>
    <row r="65" spans="1:10" ht="15.75" customHeight="1" x14ac:dyDescent="0.2">
      <c r="A65" s="58"/>
      <c r="B65" s="58"/>
      <c r="C65" s="34" t="s">
        <v>60</v>
      </c>
      <c r="D65" s="33" t="s">
        <v>53</v>
      </c>
      <c r="E65" s="59"/>
      <c r="F65" s="59"/>
      <c r="G65" s="59">
        <v>0</v>
      </c>
      <c r="H65" s="52">
        <f t="shared" si="15"/>
        <v>9999.4699999999993</v>
      </c>
      <c r="I65" s="248">
        <v>9999.4699999999993</v>
      </c>
      <c r="J65" s="71"/>
    </row>
    <row r="66" spans="1:10" ht="24" customHeight="1" x14ac:dyDescent="0.2">
      <c r="A66" s="58"/>
      <c r="B66" s="58"/>
      <c r="C66" s="34" t="s">
        <v>115</v>
      </c>
      <c r="D66" s="83" t="s">
        <v>116</v>
      </c>
      <c r="E66" s="59"/>
      <c r="F66" s="59">
        <f>G66-E66</f>
        <v>13272.28</v>
      </c>
      <c r="G66" s="59">
        <v>13272.28</v>
      </c>
      <c r="H66" s="52">
        <f t="shared" si="15"/>
        <v>0</v>
      </c>
      <c r="I66" s="248">
        <v>13272.28</v>
      </c>
      <c r="J66" s="71">
        <f t="shared" si="16"/>
        <v>1</v>
      </c>
    </row>
    <row r="67" spans="1:10" ht="30" customHeight="1" x14ac:dyDescent="0.2">
      <c r="A67" s="58"/>
      <c r="B67" s="58"/>
      <c r="C67" s="33" t="s">
        <v>157</v>
      </c>
      <c r="D67" s="83" t="s">
        <v>59</v>
      </c>
      <c r="E67" s="59">
        <v>776428.43</v>
      </c>
      <c r="F67" s="59">
        <f>G67-E67</f>
        <v>29447.869999999995</v>
      </c>
      <c r="G67" s="59">
        <v>805876.3</v>
      </c>
      <c r="H67" s="52">
        <f t="shared" si="15"/>
        <v>6363.4599999999627</v>
      </c>
      <c r="I67" s="248">
        <v>812239.76</v>
      </c>
      <c r="J67" s="71">
        <f t="shared" si="16"/>
        <v>1.0078963235424592</v>
      </c>
    </row>
    <row r="68" spans="1:10" ht="22.5" x14ac:dyDescent="0.2">
      <c r="A68" s="58"/>
      <c r="B68" s="58"/>
      <c r="C68" s="34" t="s">
        <v>132</v>
      </c>
      <c r="D68" s="42" t="s">
        <v>21</v>
      </c>
      <c r="E68" s="59">
        <v>265.45</v>
      </c>
      <c r="F68" s="59">
        <f>G68-E68</f>
        <v>10034.549999999999</v>
      </c>
      <c r="G68" s="59">
        <v>10300</v>
      </c>
      <c r="H68" s="52">
        <f t="shared" si="15"/>
        <v>0</v>
      </c>
      <c r="I68" s="248">
        <v>10300</v>
      </c>
      <c r="J68" s="71">
        <f t="shared" si="16"/>
        <v>1</v>
      </c>
    </row>
    <row r="69" spans="1:10" x14ac:dyDescent="0.2">
      <c r="E69" s="64"/>
      <c r="F69" s="64"/>
      <c r="G69" s="64"/>
      <c r="H69" s="64"/>
      <c r="I69" s="64"/>
    </row>
    <row r="70" spans="1:10" x14ac:dyDescent="0.2">
      <c r="E70" s="64"/>
      <c r="F70" s="64"/>
      <c r="G70" s="64"/>
      <c r="H70" s="64"/>
      <c r="I70" s="64"/>
    </row>
    <row r="71" spans="1:10" x14ac:dyDescent="0.2">
      <c r="E71" s="64"/>
      <c r="F71" s="64"/>
      <c r="G71" s="64"/>
      <c r="H71" s="64"/>
      <c r="I71" s="64"/>
    </row>
    <row r="72" spans="1:10" x14ac:dyDescent="0.2">
      <c r="E72" s="64"/>
      <c r="F72" s="64"/>
      <c r="G72" s="64"/>
      <c r="H72" s="64"/>
      <c r="I72" s="64"/>
    </row>
    <row r="73" spans="1:10" x14ac:dyDescent="0.2">
      <c r="E73" s="64"/>
      <c r="F73" s="64"/>
      <c r="G73" s="64"/>
      <c r="H73" s="64"/>
      <c r="I73" s="64"/>
    </row>
    <row r="74" spans="1:10" x14ac:dyDescent="0.2">
      <c r="E74" s="64"/>
      <c r="F74" s="64"/>
      <c r="G74" s="64"/>
      <c r="H74" s="64"/>
      <c r="I74" s="64"/>
    </row>
    <row r="75" spans="1:10" x14ac:dyDescent="0.2">
      <c r="E75" s="64"/>
      <c r="F75" s="64"/>
      <c r="G75" s="64"/>
      <c r="H75" s="64"/>
      <c r="I75" s="64"/>
    </row>
    <row r="76" spans="1:10" x14ac:dyDescent="0.2">
      <c r="E76" s="64"/>
      <c r="F76" s="64"/>
      <c r="G76" s="64"/>
      <c r="H76" s="64"/>
      <c r="I76" s="64"/>
    </row>
    <row r="77" spans="1:10" x14ac:dyDescent="0.2">
      <c r="E77" s="64"/>
      <c r="F77" s="64"/>
      <c r="G77" s="64"/>
      <c r="H77" s="64"/>
      <c r="I77" s="64"/>
    </row>
    <row r="78" spans="1:10" x14ac:dyDescent="0.2">
      <c r="E78" s="64"/>
      <c r="F78" s="64"/>
      <c r="G78" s="64"/>
      <c r="H78" s="64"/>
      <c r="I78" s="64"/>
    </row>
    <row r="79" spans="1:10" x14ac:dyDescent="0.2">
      <c r="E79" s="64"/>
      <c r="F79" s="64"/>
      <c r="G79" s="64"/>
      <c r="H79" s="64"/>
      <c r="I79" s="64"/>
    </row>
    <row r="80" spans="1:10" x14ac:dyDescent="0.2">
      <c r="E80" s="64"/>
      <c r="F80" s="64"/>
      <c r="G80" s="64"/>
      <c r="H80" s="64"/>
      <c r="I80" s="64"/>
    </row>
    <row r="81" spans="5:9" x14ac:dyDescent="0.2">
      <c r="E81" s="64"/>
      <c r="F81" s="64"/>
      <c r="G81" s="64"/>
      <c r="H81" s="64"/>
      <c r="I81" s="64"/>
    </row>
    <row r="82" spans="5:9" x14ac:dyDescent="0.2">
      <c r="E82" s="64"/>
      <c r="F82" s="64"/>
      <c r="G82" s="64"/>
      <c r="H82" s="64"/>
      <c r="I82" s="64"/>
    </row>
    <row r="83" spans="5:9" x14ac:dyDescent="0.2">
      <c r="E83" s="64"/>
      <c r="F83" s="64"/>
      <c r="G83" s="64"/>
      <c r="H83" s="64"/>
      <c r="I83" s="64"/>
    </row>
    <row r="84" spans="5:9" x14ac:dyDescent="0.2">
      <c r="E84" s="64"/>
      <c r="F84" s="64"/>
      <c r="G84" s="64"/>
      <c r="H84" s="64"/>
      <c r="I84" s="64"/>
    </row>
    <row r="85" spans="5:9" x14ac:dyDescent="0.2">
      <c r="E85" s="64"/>
      <c r="F85" s="64"/>
      <c r="G85" s="64"/>
      <c r="H85" s="64"/>
      <c r="I85" s="64"/>
    </row>
    <row r="86" spans="5:9" x14ac:dyDescent="0.2">
      <c r="E86" s="64"/>
      <c r="F86" s="64"/>
      <c r="G86" s="64"/>
      <c r="H86" s="64"/>
      <c r="I86" s="64"/>
    </row>
  </sheetData>
  <sheetProtection algorithmName="SHA-512" hashValue="JW9ut9utMuxvO7+ekpcxiOcCyXSnpm8uPNgVvXMnqlvqRuTShimA1+0J5Ro4IDaQkMB/qIIrUsJSuolPHjp9Jg==" saltValue="5tvprY4+1hKlAT/whDF1Ag==" spinCount="100000" sheet="1" objects="1" scenarios="1"/>
  <mergeCells count="7">
    <mergeCell ref="A37:C37"/>
    <mergeCell ref="A10:C10"/>
    <mergeCell ref="A1:J1"/>
    <mergeCell ref="A3:J3"/>
    <mergeCell ref="A5:J5"/>
    <mergeCell ref="A7:J7"/>
    <mergeCell ref="A34:J34"/>
  </mergeCells>
  <pageMargins left="0.7" right="0.7" top="0.75" bottom="0.75" header="0.3" footer="0.3"/>
  <pageSetup paperSize="9" scale="55" fitToHeight="0" orientation="portrait" r:id="rId1"/>
  <headerFooter>
    <oddHeader>&amp;L&amp;8ZAVOD ZA HITNU MEDICINU SPLITSKO-DALMATINSKE ŽUPANIJE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5"/>
  <sheetViews>
    <sheetView view="pageLayout" zoomScaleNormal="100" workbookViewId="0">
      <selection activeCell="A2" sqref="A2"/>
    </sheetView>
  </sheetViews>
  <sheetFormatPr defaultRowHeight="12" x14ac:dyDescent="0.2"/>
  <cols>
    <col min="1" max="1" width="37.7109375" style="1" customWidth="1"/>
    <col min="2" max="3" width="25.28515625" style="1" hidden="1" customWidth="1"/>
    <col min="4" max="4" width="22.5703125" style="1" customWidth="1"/>
    <col min="5" max="5" width="19.42578125" style="1" customWidth="1"/>
    <col min="6" max="6" width="20.28515625" style="1" customWidth="1"/>
    <col min="7" max="16384" width="9.140625" style="1"/>
  </cols>
  <sheetData>
    <row r="1" spans="1:13" ht="42" customHeight="1" x14ac:dyDescent="0.2">
      <c r="A1" s="197" t="s">
        <v>133</v>
      </c>
      <c r="B1" s="197"/>
      <c r="C1" s="197"/>
      <c r="D1" s="197"/>
      <c r="E1" s="197"/>
      <c r="F1" s="197"/>
      <c r="G1" s="14"/>
      <c r="H1" s="14"/>
      <c r="I1" s="14"/>
      <c r="J1" s="14"/>
      <c r="K1" s="14"/>
      <c r="L1" s="14"/>
      <c r="M1" s="14"/>
    </row>
    <row r="2" spans="1:13" ht="18" customHeight="1" x14ac:dyDescent="0.2">
      <c r="A2" s="9"/>
      <c r="B2" s="9"/>
      <c r="C2" s="9"/>
      <c r="D2" s="9"/>
      <c r="E2" s="9"/>
      <c r="F2" s="9"/>
    </row>
    <row r="3" spans="1:13" x14ac:dyDescent="0.2">
      <c r="A3" s="197" t="s">
        <v>34</v>
      </c>
      <c r="B3" s="197"/>
      <c r="C3" s="197"/>
      <c r="D3" s="197"/>
      <c r="E3" s="222"/>
      <c r="F3" s="222"/>
    </row>
    <row r="4" spans="1:13" x14ac:dyDescent="0.2">
      <c r="A4" s="9"/>
      <c r="B4" s="9"/>
      <c r="C4" s="9"/>
      <c r="D4" s="9"/>
      <c r="E4" s="10"/>
      <c r="F4" s="10"/>
    </row>
    <row r="5" spans="1:13" ht="18" customHeight="1" x14ac:dyDescent="0.2">
      <c r="A5" s="197" t="s">
        <v>15</v>
      </c>
      <c r="B5" s="223"/>
      <c r="C5" s="223"/>
      <c r="D5" s="223"/>
      <c r="E5" s="223"/>
      <c r="F5" s="223"/>
    </row>
    <row r="6" spans="1:13" x14ac:dyDescent="0.2">
      <c r="A6" s="9"/>
      <c r="B6" s="9"/>
      <c r="C6" s="9"/>
      <c r="D6" s="9"/>
      <c r="E6" s="10"/>
      <c r="F6" s="10"/>
    </row>
    <row r="7" spans="1:13" x14ac:dyDescent="0.2">
      <c r="A7" s="197" t="s">
        <v>28</v>
      </c>
      <c r="B7" s="224"/>
      <c r="C7" s="224"/>
      <c r="D7" s="224"/>
      <c r="E7" s="224"/>
      <c r="F7" s="224"/>
    </row>
    <row r="8" spans="1:13" x14ac:dyDescent="0.2">
      <c r="A8" s="9"/>
      <c r="B8" s="9"/>
      <c r="C8" s="9"/>
      <c r="D8" s="9"/>
      <c r="E8" s="10"/>
      <c r="F8" s="10"/>
    </row>
    <row r="9" spans="1:13" ht="28.5" customHeight="1" x14ac:dyDescent="0.2">
      <c r="A9" s="11" t="s">
        <v>29</v>
      </c>
      <c r="B9" s="12" t="s">
        <v>12</v>
      </c>
      <c r="C9" s="11" t="s">
        <v>13</v>
      </c>
      <c r="D9" s="11" t="s">
        <v>45</v>
      </c>
      <c r="E9" s="11" t="s">
        <v>113</v>
      </c>
      <c r="F9" s="11" t="s">
        <v>114</v>
      </c>
      <c r="G9" s="73" t="s">
        <v>117</v>
      </c>
    </row>
    <row r="10" spans="1:13" ht="15.75" customHeight="1" x14ac:dyDescent="0.2">
      <c r="A10" s="13" t="s">
        <v>30</v>
      </c>
      <c r="B10" s="2"/>
      <c r="C10" s="3"/>
      <c r="D10" s="4">
        <f t="shared" ref="D10:F11" si="0">D11</f>
        <v>22419148.27</v>
      </c>
      <c r="E10" s="4">
        <f t="shared" si="0"/>
        <v>141458.17000000179</v>
      </c>
      <c r="F10" s="4">
        <f t="shared" si="0"/>
        <v>22560606.440000001</v>
      </c>
      <c r="G10" s="75">
        <f>F10/D10</f>
        <v>1.0063097031295025</v>
      </c>
    </row>
    <row r="11" spans="1:13" ht="15.75" customHeight="1" x14ac:dyDescent="0.2">
      <c r="A11" s="13" t="s">
        <v>55</v>
      </c>
      <c r="B11" s="2"/>
      <c r="C11" s="3"/>
      <c r="D11" s="4">
        <f t="shared" si="0"/>
        <v>22419148.27</v>
      </c>
      <c r="E11" s="4">
        <f t="shared" si="0"/>
        <v>141458.17000000179</v>
      </c>
      <c r="F11" s="4">
        <f t="shared" si="0"/>
        <v>22560606.440000001</v>
      </c>
      <c r="G11" s="75">
        <f t="shared" ref="G11:G12" si="1">F11/D11</f>
        <v>1.0063097031295025</v>
      </c>
    </row>
    <row r="12" spans="1:13" x14ac:dyDescent="0.2">
      <c r="A12" s="74" t="s">
        <v>54</v>
      </c>
      <c r="B12" s="2"/>
      <c r="C12" s="3"/>
      <c r="D12" s="4">
        <v>22419148.27</v>
      </c>
      <c r="E12" s="4">
        <f>F12-D12</f>
        <v>141458.17000000179</v>
      </c>
      <c r="F12" s="4">
        <v>22560606.440000001</v>
      </c>
      <c r="G12" s="75">
        <f t="shared" si="1"/>
        <v>1.0063097031295025</v>
      </c>
    </row>
    <row r="15" spans="1:13" x14ac:dyDescent="0.2">
      <c r="A15" s="18"/>
    </row>
  </sheetData>
  <sheetProtection algorithmName="SHA-512" hashValue="iFf3JwnmqFPfQ1RVxOqWiDCMS8QHtEfsB8r/zzFlrtPJKFyKjO5V7CG1dq9a6vzNIlahdWcFqq9d69fDX2Ah1g==" saltValue="Gdl0B9fo62ocKTLLu8dAog==" spinCount="100000" sheet="1" objects="1" scenarios="1"/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portrait" r:id="rId1"/>
  <headerFooter>
    <oddHeader>&amp;L&amp;"Arial,Uobičajeno"&amp;8ZAVOD ZA HITNU MEDICINU SPLITSKO-DALMATINSKE ŽUPANIJE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4"/>
  <sheetViews>
    <sheetView view="pageLayout" zoomScaleNormal="100" workbookViewId="0">
      <selection activeCell="A2" sqref="A2"/>
    </sheetView>
  </sheetViews>
  <sheetFormatPr defaultRowHeight="12" x14ac:dyDescent="0.2"/>
  <cols>
    <col min="1" max="1" width="7.42578125" style="1" bestFit="1" customWidth="1"/>
    <col min="2" max="2" width="8.42578125" style="1" bestFit="1" customWidth="1"/>
    <col min="3" max="3" width="5.42578125" style="1" bestFit="1" customWidth="1"/>
    <col min="4" max="4" width="25.28515625" style="1" customWidth="1"/>
    <col min="5" max="6" width="25.28515625" style="1" hidden="1" customWidth="1"/>
    <col min="7" max="9" width="25.28515625" style="1" customWidth="1"/>
    <col min="10" max="16384" width="9.140625" style="1"/>
  </cols>
  <sheetData>
    <row r="1" spans="1:13" ht="42" customHeight="1" x14ac:dyDescent="0.2">
      <c r="A1" s="197" t="s">
        <v>134</v>
      </c>
      <c r="B1" s="197"/>
      <c r="C1" s="197"/>
      <c r="D1" s="197"/>
      <c r="E1" s="197"/>
      <c r="F1" s="197"/>
      <c r="G1" s="197"/>
      <c r="H1" s="197"/>
      <c r="I1" s="197"/>
      <c r="J1" s="14"/>
      <c r="K1" s="14"/>
      <c r="L1" s="14"/>
      <c r="M1" s="14"/>
    </row>
    <row r="2" spans="1:13" ht="18" customHeight="1" x14ac:dyDescent="0.2">
      <c r="A2" s="9"/>
      <c r="B2" s="9"/>
      <c r="C2" s="9"/>
      <c r="D2" s="9"/>
      <c r="E2" s="9"/>
      <c r="F2" s="9"/>
      <c r="G2" s="9"/>
      <c r="H2" s="9"/>
      <c r="I2" s="9"/>
    </row>
    <row r="3" spans="1:13" x14ac:dyDescent="0.2">
      <c r="A3" s="197" t="s">
        <v>34</v>
      </c>
      <c r="B3" s="197"/>
      <c r="C3" s="197"/>
      <c r="D3" s="197"/>
      <c r="E3" s="197"/>
      <c r="F3" s="197"/>
      <c r="G3" s="197"/>
      <c r="H3" s="222"/>
      <c r="I3" s="222"/>
    </row>
    <row r="4" spans="1:13" x14ac:dyDescent="0.2">
      <c r="A4" s="9"/>
      <c r="B4" s="9"/>
      <c r="C4" s="9"/>
      <c r="D4" s="9"/>
      <c r="E4" s="9"/>
      <c r="F4" s="9"/>
      <c r="G4" s="9"/>
      <c r="H4" s="10"/>
      <c r="I4" s="10"/>
    </row>
    <row r="5" spans="1:13" ht="18" customHeight="1" x14ac:dyDescent="0.2">
      <c r="A5" s="197" t="s">
        <v>31</v>
      </c>
      <c r="B5" s="223"/>
      <c r="C5" s="223"/>
      <c r="D5" s="223"/>
      <c r="E5" s="223"/>
      <c r="F5" s="223"/>
      <c r="G5" s="223"/>
      <c r="H5" s="223"/>
      <c r="I5" s="223"/>
    </row>
    <row r="6" spans="1:13" x14ac:dyDescent="0.2">
      <c r="A6" s="9"/>
      <c r="B6" s="9"/>
      <c r="C6" s="9"/>
      <c r="D6" s="9"/>
      <c r="E6" s="9"/>
      <c r="F6" s="9"/>
      <c r="G6" s="9"/>
      <c r="H6" s="10"/>
      <c r="I6" s="10"/>
    </row>
    <row r="7" spans="1:13" x14ac:dyDescent="0.2">
      <c r="A7" s="11" t="s">
        <v>16</v>
      </c>
      <c r="B7" s="12" t="s">
        <v>17</v>
      </c>
      <c r="C7" s="12" t="s">
        <v>18</v>
      </c>
      <c r="D7" s="12" t="s">
        <v>51</v>
      </c>
      <c r="E7" s="12" t="s">
        <v>12</v>
      </c>
      <c r="F7" s="11" t="s">
        <v>13</v>
      </c>
      <c r="G7" s="23" t="s">
        <v>45</v>
      </c>
      <c r="H7" s="23" t="s">
        <v>113</v>
      </c>
      <c r="I7" s="23" t="s">
        <v>114</v>
      </c>
    </row>
    <row r="8" spans="1:13" ht="24" x14ac:dyDescent="0.2">
      <c r="A8" s="13">
        <v>8</v>
      </c>
      <c r="B8" s="13"/>
      <c r="C8" s="13"/>
      <c r="D8" s="13" t="s">
        <v>32</v>
      </c>
      <c r="E8" s="2"/>
      <c r="F8" s="3"/>
      <c r="G8" s="3">
        <v>0</v>
      </c>
      <c r="H8" s="3">
        <f>I8-G8</f>
        <v>0</v>
      </c>
      <c r="I8" s="3">
        <v>0</v>
      </c>
    </row>
    <row r="9" spans="1:13" x14ac:dyDescent="0.2">
      <c r="A9" s="13"/>
      <c r="B9" s="76">
        <v>84</v>
      </c>
      <c r="C9" s="76"/>
      <c r="D9" s="76" t="s">
        <v>36</v>
      </c>
      <c r="E9" s="2"/>
      <c r="F9" s="3"/>
      <c r="G9" s="3">
        <v>0</v>
      </c>
      <c r="H9" s="3">
        <f t="shared" ref="H9:H14" si="0">I9-G9</f>
        <v>0</v>
      </c>
      <c r="I9" s="3">
        <v>0</v>
      </c>
    </row>
    <row r="10" spans="1:13" ht="24" x14ac:dyDescent="0.2">
      <c r="A10" s="77"/>
      <c r="B10" s="77"/>
      <c r="C10" s="78">
        <v>81</v>
      </c>
      <c r="D10" s="74" t="s">
        <v>37</v>
      </c>
      <c r="E10" s="2"/>
      <c r="F10" s="3"/>
      <c r="G10" s="3">
        <v>0</v>
      </c>
      <c r="H10" s="3">
        <f t="shared" si="0"/>
        <v>0</v>
      </c>
      <c r="I10" s="3">
        <v>0</v>
      </c>
    </row>
    <row r="11" spans="1:13" ht="24" x14ac:dyDescent="0.2">
      <c r="A11" s="79">
        <v>5</v>
      </c>
      <c r="B11" s="79"/>
      <c r="C11" s="79"/>
      <c r="D11" s="80" t="s">
        <v>33</v>
      </c>
      <c r="E11" s="2"/>
      <c r="F11" s="3"/>
      <c r="G11" s="3">
        <v>0</v>
      </c>
      <c r="H11" s="3">
        <f t="shared" si="0"/>
        <v>0</v>
      </c>
      <c r="I11" s="3">
        <v>0</v>
      </c>
    </row>
    <row r="12" spans="1:13" ht="24" x14ac:dyDescent="0.2">
      <c r="A12" s="76"/>
      <c r="B12" s="76">
        <v>54</v>
      </c>
      <c r="C12" s="76"/>
      <c r="D12" s="81" t="s">
        <v>38</v>
      </c>
      <c r="E12" s="2"/>
      <c r="F12" s="3"/>
      <c r="G12" s="3">
        <v>0</v>
      </c>
      <c r="H12" s="3">
        <f t="shared" si="0"/>
        <v>0</v>
      </c>
      <c r="I12" s="82">
        <v>0</v>
      </c>
    </row>
    <row r="13" spans="1:13" x14ac:dyDescent="0.2">
      <c r="A13" s="76"/>
      <c r="B13" s="76"/>
      <c r="C13" s="78">
        <v>11</v>
      </c>
      <c r="D13" s="78" t="s">
        <v>20</v>
      </c>
      <c r="E13" s="2"/>
      <c r="F13" s="3"/>
      <c r="G13" s="3">
        <v>0</v>
      </c>
      <c r="H13" s="3">
        <f t="shared" si="0"/>
        <v>0</v>
      </c>
      <c r="I13" s="82">
        <v>0</v>
      </c>
    </row>
    <row r="14" spans="1:13" x14ac:dyDescent="0.2">
      <c r="A14" s="76"/>
      <c r="B14" s="76"/>
      <c r="C14" s="78">
        <v>31</v>
      </c>
      <c r="D14" s="78" t="s">
        <v>39</v>
      </c>
      <c r="E14" s="2"/>
      <c r="F14" s="3"/>
      <c r="G14" s="3">
        <v>0</v>
      </c>
      <c r="H14" s="3">
        <f t="shared" si="0"/>
        <v>0</v>
      </c>
      <c r="I14" s="82">
        <v>0</v>
      </c>
    </row>
  </sheetData>
  <sheetProtection algorithmName="SHA-512" hashValue="pvngxe8aGZx2DgZZsGV27B52J6cstD/hmbaLEkpFhlltBohWRUFy8MMiElKKKhVJlqjPY5xr59tAg+LX5yvMpw==" saltValue="Oo+Dx2o4vJO8NPW+tv+SHA==" spinCount="100000" sheet="1" objects="1" scenarios="1"/>
  <mergeCells count="3">
    <mergeCell ref="A1:I1"/>
    <mergeCell ref="A3:I3"/>
    <mergeCell ref="A5:I5"/>
  </mergeCells>
  <pageMargins left="0.7" right="0.7" top="0.75" bottom="0.75" header="0.3" footer="0.3"/>
  <pageSetup paperSize="9" scale="71" orientation="portrait" r:id="rId1"/>
  <headerFooter>
    <oddHeader>&amp;L&amp;"Arial,Uobičajeno"&amp;8ZAVOD ZA HITNU MEDICINU SPLITSKO-DALMATINSKE ŽUPANIJE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195E-050A-4372-86F8-D8A622A6F0E8}">
  <dimension ref="A1:G150"/>
  <sheetViews>
    <sheetView topLeftCell="B1" workbookViewId="0">
      <selection activeCell="H59" sqref="H59"/>
    </sheetView>
  </sheetViews>
  <sheetFormatPr defaultRowHeight="15" x14ac:dyDescent="0.25"/>
  <cols>
    <col min="1" max="1" width="0" hidden="1" customWidth="1"/>
    <col min="3" max="3" width="29.7109375" customWidth="1"/>
    <col min="4" max="4" width="13.7109375" customWidth="1"/>
    <col min="5" max="5" width="13.28515625" customWidth="1"/>
    <col min="6" max="6" width="15.7109375" customWidth="1"/>
  </cols>
  <sheetData>
    <row r="1" spans="1:7" x14ac:dyDescent="0.25">
      <c r="A1" s="154"/>
      <c r="B1" s="155"/>
      <c r="C1" s="156"/>
      <c r="D1" s="157"/>
      <c r="E1" s="157"/>
      <c r="F1" s="157"/>
      <c r="G1" s="158"/>
    </row>
    <row r="2" spans="1:7" x14ac:dyDescent="0.25">
      <c r="A2" s="154"/>
      <c r="B2" s="155"/>
      <c r="C2" s="156"/>
      <c r="D2" s="157"/>
      <c r="E2" s="157"/>
      <c r="F2" s="157"/>
      <c r="G2" s="158"/>
    </row>
    <row r="3" spans="1:7" x14ac:dyDescent="0.25">
      <c r="A3" s="154"/>
      <c r="B3" s="155"/>
      <c r="C3" s="156"/>
      <c r="D3" s="157"/>
      <c r="E3" s="157"/>
      <c r="F3" s="157"/>
      <c r="G3" s="158"/>
    </row>
    <row r="4" spans="1:7" x14ac:dyDescent="0.25">
      <c r="A4" s="154"/>
      <c r="B4" s="155"/>
      <c r="C4" s="156"/>
      <c r="D4" s="157"/>
      <c r="E4" s="157"/>
      <c r="F4" s="157"/>
      <c r="G4" s="158"/>
    </row>
    <row r="5" spans="1:7" x14ac:dyDescent="0.25">
      <c r="A5" s="154"/>
      <c r="B5" s="155"/>
      <c r="C5" s="156"/>
      <c r="D5" s="157"/>
      <c r="E5" s="157"/>
      <c r="F5" s="157"/>
      <c r="G5" s="158"/>
    </row>
    <row r="6" spans="1:7" x14ac:dyDescent="0.25">
      <c r="A6" s="154"/>
      <c r="B6" s="155"/>
      <c r="C6" s="156"/>
      <c r="D6" s="157"/>
      <c r="E6" s="157"/>
      <c r="F6" s="157"/>
      <c r="G6" s="158"/>
    </row>
    <row r="7" spans="1:7" x14ac:dyDescent="0.25">
      <c r="A7" s="154"/>
      <c r="B7" s="155"/>
      <c r="C7" s="156"/>
      <c r="D7" s="157"/>
      <c r="E7" s="157"/>
      <c r="F7" s="157"/>
      <c r="G7" s="158"/>
    </row>
    <row r="8" spans="1:7" x14ac:dyDescent="0.25">
      <c r="A8" s="154"/>
      <c r="B8" s="155"/>
      <c r="C8" s="156"/>
      <c r="D8" s="157"/>
      <c r="E8" s="157"/>
      <c r="F8" s="157"/>
      <c r="G8" s="158"/>
    </row>
    <row r="9" spans="1:7" x14ac:dyDescent="0.25">
      <c r="A9" s="154"/>
      <c r="B9" s="155"/>
      <c r="C9" s="156"/>
      <c r="D9" s="157"/>
      <c r="E9" s="157"/>
      <c r="F9" s="157"/>
      <c r="G9" s="158"/>
    </row>
    <row r="10" spans="1:7" x14ac:dyDescent="0.25">
      <c r="A10" s="154"/>
      <c r="B10" s="155"/>
      <c r="C10" s="156"/>
      <c r="D10" s="157"/>
      <c r="E10" s="157"/>
      <c r="F10" s="157"/>
      <c r="G10" s="158"/>
    </row>
    <row r="11" spans="1:7" x14ac:dyDescent="0.25">
      <c r="A11" s="154"/>
      <c r="B11" s="240"/>
      <c r="C11" s="240"/>
      <c r="D11" s="240"/>
      <c r="E11" s="240"/>
      <c r="F11" s="240"/>
      <c r="G11" s="159"/>
    </row>
    <row r="12" spans="1:7" x14ac:dyDescent="0.25">
      <c r="A12" s="160"/>
      <c r="B12" s="241" t="s">
        <v>136</v>
      </c>
      <c r="C12" s="241"/>
      <c r="D12" s="241"/>
      <c r="E12" s="241"/>
      <c r="F12" s="241"/>
      <c r="G12" s="161"/>
    </row>
    <row r="13" spans="1:7" x14ac:dyDescent="0.25">
      <c r="A13" s="162"/>
      <c r="B13" s="242"/>
      <c r="C13" s="242"/>
      <c r="D13" s="242"/>
      <c r="E13" s="242"/>
      <c r="F13" s="242"/>
      <c r="G13" s="163"/>
    </row>
    <row r="14" spans="1:7" x14ac:dyDescent="0.25">
      <c r="A14" s="162"/>
      <c r="B14" s="243"/>
      <c r="C14" s="243"/>
      <c r="D14" s="243"/>
      <c r="E14" s="243"/>
      <c r="F14" s="243"/>
      <c r="G14" s="164"/>
    </row>
    <row r="15" spans="1:7" x14ac:dyDescent="0.25">
      <c r="A15" s="85"/>
      <c r="B15" s="237" t="s">
        <v>137</v>
      </c>
      <c r="C15" s="237"/>
      <c r="D15" s="244" t="s">
        <v>138</v>
      </c>
      <c r="E15" s="244" t="s">
        <v>139</v>
      </c>
      <c r="F15" s="244" t="s">
        <v>140</v>
      </c>
      <c r="G15" s="235" t="s">
        <v>141</v>
      </c>
    </row>
    <row r="16" spans="1:7" x14ac:dyDescent="0.25">
      <c r="A16" s="85"/>
      <c r="B16" s="237"/>
      <c r="C16" s="237"/>
      <c r="D16" s="244"/>
      <c r="E16" s="244"/>
      <c r="F16" s="244"/>
      <c r="G16" s="236"/>
    </row>
    <row r="17" spans="1:7" x14ac:dyDescent="0.25">
      <c r="A17" s="85"/>
      <c r="B17" s="237"/>
      <c r="C17" s="237"/>
      <c r="D17" s="165">
        <v>1</v>
      </c>
      <c r="E17" s="165">
        <v>2</v>
      </c>
      <c r="F17" s="165">
        <v>3</v>
      </c>
      <c r="G17" s="114" t="s">
        <v>67</v>
      </c>
    </row>
    <row r="18" spans="1:7" hidden="1" x14ac:dyDescent="0.25">
      <c r="A18" s="166"/>
      <c r="B18" s="238" t="s">
        <v>70</v>
      </c>
      <c r="C18" s="238"/>
      <c r="D18" s="167">
        <f>D22+D26+D28+D30+D32+D37+D39+D41+D43+D45+D24+D48</f>
        <v>22460198.75</v>
      </c>
      <c r="E18" s="167">
        <f>F18-D18</f>
        <v>141458.17000000179</v>
      </c>
      <c r="F18" s="167">
        <f>F22+F26+F28+F30+F32+F37+F39+F41+F43+F45+F24+F48</f>
        <v>22601656.920000002</v>
      </c>
      <c r="G18" s="168">
        <f>F18/D18</f>
        <v>1.0062981708921876</v>
      </c>
    </row>
    <row r="19" spans="1:7" hidden="1" x14ac:dyDescent="0.25">
      <c r="A19" s="166"/>
      <c r="B19" s="239" t="s">
        <v>71</v>
      </c>
      <c r="C19" s="239"/>
      <c r="D19" s="169"/>
      <c r="E19" s="169">
        <f t="shared" ref="E19:E49" si="0">F19-D19</f>
        <v>0</v>
      </c>
      <c r="F19" s="169"/>
      <c r="G19" s="170" t="e">
        <f t="shared" ref="G19:G48" si="1">F19/D19</f>
        <v>#DIV/0!</v>
      </c>
    </row>
    <row r="20" spans="1:7" hidden="1" x14ac:dyDescent="0.25">
      <c r="A20" s="166"/>
      <c r="B20" s="239" t="s">
        <v>72</v>
      </c>
      <c r="C20" s="239"/>
      <c r="D20" s="169"/>
      <c r="E20" s="169">
        <f t="shared" si="0"/>
        <v>0</v>
      </c>
      <c r="F20" s="169"/>
      <c r="G20" s="170" t="e">
        <f t="shared" si="1"/>
        <v>#DIV/0!</v>
      </c>
    </row>
    <row r="21" spans="1:7" hidden="1" x14ac:dyDescent="0.25">
      <c r="A21" s="166"/>
      <c r="B21" s="239" t="s">
        <v>73</v>
      </c>
      <c r="C21" s="239"/>
      <c r="D21" s="169"/>
      <c r="E21" s="169">
        <f t="shared" si="0"/>
        <v>0</v>
      </c>
      <c r="F21" s="169"/>
      <c r="G21" s="170" t="e">
        <f t="shared" si="1"/>
        <v>#DIV/0!</v>
      </c>
    </row>
    <row r="22" spans="1:7" hidden="1" x14ac:dyDescent="0.25">
      <c r="A22" s="166"/>
      <c r="B22" s="234" t="s">
        <v>74</v>
      </c>
      <c r="C22" s="234"/>
      <c r="D22" s="171">
        <f t="shared" ref="D22:F22" si="2">D23</f>
        <v>1055241.8899999999</v>
      </c>
      <c r="E22" s="171">
        <f t="shared" si="0"/>
        <v>273558.94000000018</v>
      </c>
      <c r="F22" s="171">
        <f t="shared" si="2"/>
        <v>1328800.83</v>
      </c>
      <c r="G22" s="172">
        <f t="shared" si="1"/>
        <v>1.259238135438312</v>
      </c>
    </row>
    <row r="23" spans="1:7" hidden="1" x14ac:dyDescent="0.25">
      <c r="A23" s="166"/>
      <c r="B23" s="173">
        <v>67</v>
      </c>
      <c r="C23" s="173" t="s">
        <v>48</v>
      </c>
      <c r="D23" s="174">
        <v>1055241.8899999999</v>
      </c>
      <c r="E23" s="174">
        <f t="shared" si="0"/>
        <v>273558.94000000018</v>
      </c>
      <c r="F23" s="174">
        <v>1328800.83</v>
      </c>
      <c r="G23" s="175">
        <f t="shared" si="1"/>
        <v>1.259238135438312</v>
      </c>
    </row>
    <row r="24" spans="1:7" hidden="1" x14ac:dyDescent="0.25">
      <c r="A24" s="166"/>
      <c r="B24" s="234" t="s">
        <v>98</v>
      </c>
      <c r="C24" s="234"/>
      <c r="D24" s="171">
        <f t="shared" ref="D24" si="3">D25</f>
        <v>0</v>
      </c>
      <c r="E24" s="171">
        <f t="shared" si="0"/>
        <v>0</v>
      </c>
      <c r="F24" s="171">
        <f t="shared" ref="F24" si="4">F25</f>
        <v>0</v>
      </c>
      <c r="G24" s="172" t="e">
        <f t="shared" si="1"/>
        <v>#DIV/0!</v>
      </c>
    </row>
    <row r="25" spans="1:7" hidden="1" x14ac:dyDescent="0.25">
      <c r="A25" s="166"/>
      <c r="B25" s="173">
        <v>67</v>
      </c>
      <c r="C25" s="173" t="s">
        <v>48</v>
      </c>
      <c r="D25" s="174">
        <v>0</v>
      </c>
      <c r="E25" s="174">
        <f t="shared" si="0"/>
        <v>0</v>
      </c>
      <c r="F25" s="174"/>
      <c r="G25" s="175" t="e">
        <f t="shared" si="1"/>
        <v>#DIV/0!</v>
      </c>
    </row>
    <row r="26" spans="1:7" hidden="1" x14ac:dyDescent="0.25">
      <c r="A26" s="166"/>
      <c r="B26" s="234" t="s">
        <v>75</v>
      </c>
      <c r="C26" s="234"/>
      <c r="D26" s="171">
        <f t="shared" ref="D26:F26" si="5">D27</f>
        <v>1656303.79</v>
      </c>
      <c r="E26" s="171">
        <f t="shared" si="0"/>
        <v>0</v>
      </c>
      <c r="F26" s="171">
        <f t="shared" si="5"/>
        <v>1656303.79</v>
      </c>
      <c r="G26" s="172">
        <f t="shared" si="1"/>
        <v>1</v>
      </c>
    </row>
    <row r="27" spans="1:7" hidden="1" x14ac:dyDescent="0.25">
      <c r="A27" s="166"/>
      <c r="B27" s="173">
        <v>67</v>
      </c>
      <c r="C27" s="173" t="s">
        <v>48</v>
      </c>
      <c r="D27" s="174">
        <v>1656303.79</v>
      </c>
      <c r="E27" s="174">
        <f t="shared" si="0"/>
        <v>0</v>
      </c>
      <c r="F27" s="174">
        <v>1656303.79</v>
      </c>
      <c r="G27" s="175">
        <f t="shared" si="1"/>
        <v>1</v>
      </c>
    </row>
    <row r="28" spans="1:7" hidden="1" x14ac:dyDescent="0.25">
      <c r="A28" s="166"/>
      <c r="B28" s="234" t="s">
        <v>76</v>
      </c>
      <c r="C28" s="234"/>
      <c r="D28" s="171">
        <f t="shared" ref="D28:F28" si="6">D29</f>
        <v>26530</v>
      </c>
      <c r="E28" s="171">
        <f t="shared" si="0"/>
        <v>0</v>
      </c>
      <c r="F28" s="171">
        <f t="shared" si="6"/>
        <v>26530</v>
      </c>
      <c r="G28" s="172">
        <f t="shared" si="1"/>
        <v>1</v>
      </c>
    </row>
    <row r="29" spans="1:7" hidden="1" x14ac:dyDescent="0.25">
      <c r="A29" s="166"/>
      <c r="B29" s="173">
        <v>67</v>
      </c>
      <c r="C29" s="173" t="s">
        <v>48</v>
      </c>
      <c r="D29" s="174">
        <v>26530</v>
      </c>
      <c r="E29" s="174">
        <f t="shared" si="0"/>
        <v>0</v>
      </c>
      <c r="F29" s="174">
        <v>26530</v>
      </c>
      <c r="G29" s="175">
        <f t="shared" si="1"/>
        <v>1</v>
      </c>
    </row>
    <row r="30" spans="1:7" hidden="1" x14ac:dyDescent="0.25">
      <c r="A30" s="166"/>
      <c r="B30" s="234" t="s">
        <v>118</v>
      </c>
      <c r="C30" s="234"/>
      <c r="D30" s="171">
        <f t="shared" ref="D30:F30" si="7">D31</f>
        <v>13272.28</v>
      </c>
      <c r="E30" s="171">
        <f t="shared" si="0"/>
        <v>0</v>
      </c>
      <c r="F30" s="171">
        <f t="shared" si="7"/>
        <v>13272.28</v>
      </c>
      <c r="G30" s="172">
        <f t="shared" si="1"/>
        <v>1</v>
      </c>
    </row>
    <row r="31" spans="1:7" hidden="1" x14ac:dyDescent="0.25">
      <c r="A31" s="166"/>
      <c r="B31" s="173">
        <v>67</v>
      </c>
      <c r="C31" s="173" t="s">
        <v>48</v>
      </c>
      <c r="D31" s="174">
        <v>13272.28</v>
      </c>
      <c r="E31" s="174">
        <f t="shared" si="0"/>
        <v>0</v>
      </c>
      <c r="F31" s="174">
        <v>13272.28</v>
      </c>
      <c r="G31" s="175">
        <f t="shared" si="1"/>
        <v>1</v>
      </c>
    </row>
    <row r="32" spans="1:7" hidden="1" x14ac:dyDescent="0.25">
      <c r="A32" s="166"/>
      <c r="B32" s="234" t="s">
        <v>77</v>
      </c>
      <c r="C32" s="234"/>
      <c r="D32" s="171">
        <f t="shared" ref="D32:F32" si="8">D33+D34+D35+D36</f>
        <v>302020</v>
      </c>
      <c r="E32" s="171">
        <f t="shared" si="0"/>
        <v>-2020</v>
      </c>
      <c r="F32" s="171">
        <f t="shared" si="8"/>
        <v>300000</v>
      </c>
      <c r="G32" s="172">
        <f t="shared" si="1"/>
        <v>0.99331170121184031</v>
      </c>
    </row>
    <row r="33" spans="1:7" hidden="1" x14ac:dyDescent="0.25">
      <c r="A33" s="166"/>
      <c r="B33" s="173" t="s">
        <v>78</v>
      </c>
      <c r="C33" s="173" t="s">
        <v>47</v>
      </c>
      <c r="D33" s="174">
        <v>0</v>
      </c>
      <c r="E33" s="174">
        <f t="shared" si="0"/>
        <v>0</v>
      </c>
      <c r="F33" s="174">
        <v>0</v>
      </c>
      <c r="G33" s="175" t="e">
        <f t="shared" si="1"/>
        <v>#DIV/0!</v>
      </c>
    </row>
    <row r="34" spans="1:7" hidden="1" x14ac:dyDescent="0.25">
      <c r="A34" s="166"/>
      <c r="B34" s="173" t="s">
        <v>79</v>
      </c>
      <c r="C34" s="173" t="s">
        <v>80</v>
      </c>
      <c r="D34" s="174">
        <v>20</v>
      </c>
      <c r="E34" s="174">
        <f t="shared" si="0"/>
        <v>0</v>
      </c>
      <c r="F34" s="174">
        <v>20</v>
      </c>
      <c r="G34" s="175">
        <f t="shared" si="1"/>
        <v>1</v>
      </c>
    </row>
    <row r="35" spans="1:7" hidden="1" x14ac:dyDescent="0.25">
      <c r="A35" s="166"/>
      <c r="B35" s="173" t="s">
        <v>81</v>
      </c>
      <c r="C35" s="173" t="s">
        <v>82</v>
      </c>
      <c r="D35" s="174">
        <v>300000</v>
      </c>
      <c r="E35" s="174">
        <f t="shared" si="0"/>
        <v>-2020</v>
      </c>
      <c r="F35" s="174">
        <v>297980</v>
      </c>
      <c r="G35" s="175">
        <f t="shared" si="1"/>
        <v>0.99326666666666663</v>
      </c>
    </row>
    <row r="36" spans="1:7" hidden="1" x14ac:dyDescent="0.25">
      <c r="A36" s="166"/>
      <c r="B36" s="173" t="s">
        <v>83</v>
      </c>
      <c r="C36" s="173" t="s">
        <v>61</v>
      </c>
      <c r="D36" s="174">
        <v>2000</v>
      </c>
      <c r="E36" s="174">
        <f t="shared" si="0"/>
        <v>0</v>
      </c>
      <c r="F36" s="174">
        <v>2000</v>
      </c>
      <c r="G36" s="175">
        <f t="shared" si="1"/>
        <v>1</v>
      </c>
    </row>
    <row r="37" spans="1:7" hidden="1" x14ac:dyDescent="0.25">
      <c r="A37" s="166"/>
      <c r="B37" s="234" t="s">
        <v>84</v>
      </c>
      <c r="C37" s="234"/>
      <c r="D37" s="171">
        <f t="shared" ref="D37:F37" si="9">D38</f>
        <v>16980682.969999999</v>
      </c>
      <c r="E37" s="171">
        <f t="shared" si="0"/>
        <v>411867.45000000298</v>
      </c>
      <c r="F37" s="171">
        <f t="shared" si="9"/>
        <v>17392550.420000002</v>
      </c>
      <c r="G37" s="172">
        <f t="shared" si="1"/>
        <v>1.0242550579813341</v>
      </c>
    </row>
    <row r="38" spans="1:7" hidden="1" x14ac:dyDescent="0.25">
      <c r="A38" s="166"/>
      <c r="B38" s="173" t="s">
        <v>85</v>
      </c>
      <c r="C38" s="173" t="s">
        <v>48</v>
      </c>
      <c r="D38" s="174">
        <v>16980682.969999999</v>
      </c>
      <c r="E38" s="174">
        <f t="shared" si="0"/>
        <v>411867.45000000298</v>
      </c>
      <c r="F38" s="174">
        <v>17392550.420000002</v>
      </c>
      <c r="G38" s="175">
        <f t="shared" si="1"/>
        <v>1.0242550579813341</v>
      </c>
    </row>
    <row r="39" spans="1:7" hidden="1" x14ac:dyDescent="0.25">
      <c r="A39" s="166"/>
      <c r="B39" s="234" t="s">
        <v>86</v>
      </c>
      <c r="C39" s="234"/>
      <c r="D39" s="171">
        <f t="shared" ref="D39:F39" si="10">D40</f>
        <v>1876569.59</v>
      </c>
      <c r="E39" s="171">
        <f t="shared" si="0"/>
        <v>-471238.22</v>
      </c>
      <c r="F39" s="171">
        <f t="shared" si="10"/>
        <v>1405331.37</v>
      </c>
      <c r="G39" s="172">
        <f t="shared" si="1"/>
        <v>0.74888316292069934</v>
      </c>
    </row>
    <row r="40" spans="1:7" hidden="1" x14ac:dyDescent="0.25">
      <c r="A40" s="166"/>
      <c r="B40" s="173" t="s">
        <v>78</v>
      </c>
      <c r="C40" s="173" t="s">
        <v>47</v>
      </c>
      <c r="D40" s="174">
        <v>1876569.59</v>
      </c>
      <c r="E40" s="174">
        <f t="shared" si="0"/>
        <v>-471238.22</v>
      </c>
      <c r="F40" s="174">
        <v>1405331.37</v>
      </c>
      <c r="G40" s="175">
        <f t="shared" si="1"/>
        <v>0.74888316292069934</v>
      </c>
    </row>
    <row r="41" spans="1:7" hidden="1" x14ac:dyDescent="0.25">
      <c r="A41" s="166"/>
      <c r="B41" s="234" t="s">
        <v>87</v>
      </c>
      <c r="C41" s="234"/>
      <c r="D41" s="171">
        <f t="shared" ref="D41:F41" si="11">D42</f>
        <v>520278.23</v>
      </c>
      <c r="E41" s="171">
        <f t="shared" si="0"/>
        <v>-72610</v>
      </c>
      <c r="F41" s="171">
        <f t="shared" si="11"/>
        <v>447668.23</v>
      </c>
      <c r="G41" s="172">
        <f t="shared" si="1"/>
        <v>0.86044005723629835</v>
      </c>
    </row>
    <row r="42" spans="1:7" hidden="1" x14ac:dyDescent="0.25">
      <c r="A42" s="166"/>
      <c r="B42" s="173" t="s">
        <v>78</v>
      </c>
      <c r="C42" s="173" t="s">
        <v>47</v>
      </c>
      <c r="D42" s="174">
        <v>520278.23</v>
      </c>
      <c r="E42" s="174">
        <f t="shared" si="0"/>
        <v>-72610</v>
      </c>
      <c r="F42" s="174">
        <v>447668.23</v>
      </c>
      <c r="G42" s="175">
        <f t="shared" si="1"/>
        <v>0.86044005723629835</v>
      </c>
    </row>
    <row r="43" spans="1:7" hidden="1" x14ac:dyDescent="0.25">
      <c r="A43" s="166"/>
      <c r="B43" s="234" t="s">
        <v>88</v>
      </c>
      <c r="C43" s="234"/>
      <c r="D43" s="171">
        <f t="shared" ref="D43:F43" si="12">D44</f>
        <v>0</v>
      </c>
      <c r="E43" s="171">
        <f t="shared" si="0"/>
        <v>1900</v>
      </c>
      <c r="F43" s="171">
        <f t="shared" si="12"/>
        <v>1900</v>
      </c>
      <c r="G43" s="172" t="e">
        <f t="shared" si="1"/>
        <v>#DIV/0!</v>
      </c>
    </row>
    <row r="44" spans="1:7" hidden="1" x14ac:dyDescent="0.25">
      <c r="A44" s="166"/>
      <c r="B44" s="173" t="s">
        <v>81</v>
      </c>
      <c r="C44" s="173" t="s">
        <v>82</v>
      </c>
      <c r="D44" s="174">
        <v>0</v>
      </c>
      <c r="E44" s="174">
        <f t="shared" si="0"/>
        <v>1900</v>
      </c>
      <c r="F44" s="174">
        <v>1900</v>
      </c>
      <c r="G44" s="175" t="e">
        <f t="shared" si="1"/>
        <v>#DIV/0!</v>
      </c>
    </row>
    <row r="45" spans="1:7" hidden="1" x14ac:dyDescent="0.25">
      <c r="A45" s="166"/>
      <c r="B45" s="234" t="s">
        <v>89</v>
      </c>
      <c r="C45" s="234"/>
      <c r="D45" s="171">
        <f t="shared" ref="D45:F45" si="13">D46+D47</f>
        <v>29300</v>
      </c>
      <c r="E45" s="171">
        <f t="shared" si="0"/>
        <v>0</v>
      </c>
      <c r="F45" s="171">
        <f t="shared" si="13"/>
        <v>29300</v>
      </c>
      <c r="G45" s="172">
        <f t="shared" si="1"/>
        <v>1</v>
      </c>
    </row>
    <row r="46" spans="1:7" hidden="1" x14ac:dyDescent="0.25">
      <c r="A46" s="166"/>
      <c r="B46" s="173" t="s">
        <v>90</v>
      </c>
      <c r="C46" s="173" t="s">
        <v>91</v>
      </c>
      <c r="D46" s="174">
        <v>19000</v>
      </c>
      <c r="E46" s="174">
        <f t="shared" si="0"/>
        <v>0</v>
      </c>
      <c r="F46" s="174">
        <v>19000</v>
      </c>
      <c r="G46" s="175">
        <f t="shared" si="1"/>
        <v>1</v>
      </c>
    </row>
    <row r="47" spans="1:7" hidden="1" x14ac:dyDescent="0.25">
      <c r="A47" s="166"/>
      <c r="B47" s="173" t="s">
        <v>92</v>
      </c>
      <c r="C47" s="173" t="s">
        <v>46</v>
      </c>
      <c r="D47" s="174">
        <v>10300</v>
      </c>
      <c r="E47" s="174">
        <f t="shared" si="0"/>
        <v>0</v>
      </c>
      <c r="F47" s="174">
        <v>10300</v>
      </c>
      <c r="G47" s="175">
        <f t="shared" si="1"/>
        <v>1</v>
      </c>
    </row>
    <row r="48" spans="1:7" hidden="1" x14ac:dyDescent="0.25">
      <c r="A48" s="166"/>
      <c r="B48" s="234" t="s">
        <v>102</v>
      </c>
      <c r="C48" s="234"/>
      <c r="D48" s="171">
        <f t="shared" ref="D48" si="14">D49</f>
        <v>0</v>
      </c>
      <c r="E48" s="171">
        <f t="shared" si="0"/>
        <v>0</v>
      </c>
      <c r="F48" s="171">
        <f t="shared" ref="F48" si="15">F49</f>
        <v>0</v>
      </c>
      <c r="G48" s="172" t="e">
        <f t="shared" si="1"/>
        <v>#DIV/0!</v>
      </c>
    </row>
    <row r="49" spans="1:7" hidden="1" x14ac:dyDescent="0.25">
      <c r="A49" s="166"/>
      <c r="B49" s="176">
        <v>92</v>
      </c>
      <c r="C49" s="173" t="s">
        <v>142</v>
      </c>
      <c r="D49" s="174"/>
      <c r="E49" s="174">
        <f t="shared" si="0"/>
        <v>0</v>
      </c>
      <c r="F49" s="174"/>
      <c r="G49" s="175"/>
    </row>
    <row r="50" spans="1:7" x14ac:dyDescent="0.25">
      <c r="A50" s="85"/>
      <c r="B50" s="232" t="s">
        <v>93</v>
      </c>
      <c r="C50" s="232"/>
      <c r="D50" s="177">
        <f>D52+D77+D100+D116+D123+D133+D140+D144+D112</f>
        <v>22419148.27</v>
      </c>
      <c r="E50" s="177">
        <f>E52+E77+E100+E116+E123+E133+E140+E144+E112</f>
        <v>141458.1700000001</v>
      </c>
      <c r="F50" s="177">
        <f>F52+F77+F100+F116+F123+F133+F140+F144+F112</f>
        <v>22560606.439999998</v>
      </c>
      <c r="G50" s="178">
        <f>F50/D50</f>
        <v>1.0063097031295025</v>
      </c>
    </row>
    <row r="51" spans="1:7" x14ac:dyDescent="0.25">
      <c r="A51" s="85"/>
      <c r="B51" s="233" t="s">
        <v>94</v>
      </c>
      <c r="C51" s="233"/>
      <c r="D51" s="179">
        <f>D52+D77+D100+D112+D116+D123+D133+D144+D140</f>
        <v>22419148.27</v>
      </c>
      <c r="E51" s="179">
        <f>E52+E77+E100+E112+E116+E123+E133+E144+E140</f>
        <v>141458.1700000001</v>
      </c>
      <c r="F51" s="179">
        <f>F52+F77+F100+F112+F116+F123+F133+F144+F140</f>
        <v>22560606.439999998</v>
      </c>
      <c r="G51" s="180">
        <f t="shared" ref="G51:G92" si="16">F51/D51</f>
        <v>1.0063097031295025</v>
      </c>
    </row>
    <row r="52" spans="1:7" x14ac:dyDescent="0.25">
      <c r="A52" s="85"/>
      <c r="B52" s="226" t="s">
        <v>95</v>
      </c>
      <c r="C52" s="226"/>
      <c r="D52" s="181">
        <f>D53+D56+D58+D63+D67+D71+D75</f>
        <v>18422226.779999997</v>
      </c>
      <c r="E52" s="181">
        <f>E53+E56+E58+E63+E67+E71+E75</f>
        <v>174347.07000000012</v>
      </c>
      <c r="F52" s="181">
        <f>F53+F56+F58+F63+F67+F71+F75</f>
        <v>18596573.849999998</v>
      </c>
      <c r="G52" s="182">
        <f t="shared" si="16"/>
        <v>1.0094639520011381</v>
      </c>
    </row>
    <row r="53" spans="1:7" x14ac:dyDescent="0.25">
      <c r="A53" s="85" t="s">
        <v>143</v>
      </c>
      <c r="B53" s="227" t="s">
        <v>74</v>
      </c>
      <c r="C53" s="227"/>
      <c r="D53" s="183">
        <f t="shared" ref="D53:E53" si="17">D54+D55</f>
        <v>721613.91</v>
      </c>
      <c r="E53" s="183">
        <f t="shared" si="17"/>
        <v>308386.08999999997</v>
      </c>
      <c r="F53" s="183">
        <f>F54+F55</f>
        <v>1030000</v>
      </c>
      <c r="G53" s="184">
        <f t="shared" si="16"/>
        <v>1.4273560774348155</v>
      </c>
    </row>
    <row r="54" spans="1:7" x14ac:dyDescent="0.25">
      <c r="A54" s="85"/>
      <c r="B54" s="187" t="s">
        <v>96</v>
      </c>
      <c r="C54" s="187" t="s">
        <v>25</v>
      </c>
      <c r="D54" s="185">
        <v>653186.91</v>
      </c>
      <c r="E54" s="185">
        <f>F54-D54</f>
        <v>289813.08999999997</v>
      </c>
      <c r="F54" s="185">
        <v>943000</v>
      </c>
      <c r="G54" s="186">
        <f t="shared" si="16"/>
        <v>1.443690903113781</v>
      </c>
    </row>
    <row r="55" spans="1:7" x14ac:dyDescent="0.25">
      <c r="A55" s="85"/>
      <c r="B55" s="187" t="s">
        <v>97</v>
      </c>
      <c r="C55" s="187" t="s">
        <v>35</v>
      </c>
      <c r="D55" s="185">
        <v>68427</v>
      </c>
      <c r="E55" s="185">
        <f>F55-D55</f>
        <v>18573</v>
      </c>
      <c r="F55" s="185">
        <v>87000</v>
      </c>
      <c r="G55" s="186">
        <f t="shared" si="16"/>
        <v>1.2714279451093866</v>
      </c>
    </row>
    <row r="56" spans="1:7" x14ac:dyDescent="0.25">
      <c r="A56" s="85" t="s">
        <v>144</v>
      </c>
      <c r="B56" s="227" t="s">
        <v>98</v>
      </c>
      <c r="C56" s="227"/>
      <c r="D56" s="183">
        <f t="shared" ref="D56:F56" si="18">D57</f>
        <v>0</v>
      </c>
      <c r="E56" s="183">
        <f t="shared" si="18"/>
        <v>0</v>
      </c>
      <c r="F56" s="183">
        <f t="shared" si="18"/>
        <v>0</v>
      </c>
      <c r="G56" s="184"/>
    </row>
    <row r="57" spans="1:7" x14ac:dyDescent="0.25">
      <c r="A57" s="85"/>
      <c r="B57" s="187" t="s">
        <v>96</v>
      </c>
      <c r="C57" s="187" t="s">
        <v>25</v>
      </c>
      <c r="D57" s="185">
        <v>0</v>
      </c>
      <c r="E57" s="185">
        <f>F57-D57</f>
        <v>0</v>
      </c>
      <c r="F57" s="185">
        <v>0</v>
      </c>
      <c r="G57" s="186"/>
    </row>
    <row r="58" spans="1:7" x14ac:dyDescent="0.25">
      <c r="A58" s="85" t="s">
        <v>145</v>
      </c>
      <c r="B58" s="227" t="s">
        <v>77</v>
      </c>
      <c r="C58" s="227"/>
      <c r="D58" s="183">
        <f t="shared" ref="D58:F58" si="19">D59+D60+D61+D62</f>
        <v>258441.56000000003</v>
      </c>
      <c r="E58" s="183">
        <f t="shared" si="19"/>
        <v>-96068.25</v>
      </c>
      <c r="F58" s="183">
        <f t="shared" si="19"/>
        <v>162373.31</v>
      </c>
      <c r="G58" s="184">
        <f t="shared" si="16"/>
        <v>0.62827863289480212</v>
      </c>
    </row>
    <row r="59" spans="1:7" x14ac:dyDescent="0.25">
      <c r="A59" s="85"/>
      <c r="B59" s="187" t="s">
        <v>96</v>
      </c>
      <c r="C59" s="187" t="s">
        <v>25</v>
      </c>
      <c r="D59" s="185">
        <v>141930</v>
      </c>
      <c r="E59" s="185">
        <f>F59-D59</f>
        <v>-60380.69</v>
      </c>
      <c r="F59" s="185">
        <v>81549.31</v>
      </c>
      <c r="G59" s="186">
        <f t="shared" si="16"/>
        <v>0.57457415627421971</v>
      </c>
    </row>
    <row r="60" spans="1:7" x14ac:dyDescent="0.25">
      <c r="A60" s="85"/>
      <c r="B60" s="187" t="s">
        <v>97</v>
      </c>
      <c r="C60" s="187" t="s">
        <v>35</v>
      </c>
      <c r="D60" s="185">
        <v>105275.96</v>
      </c>
      <c r="E60" s="185">
        <f t="shared" ref="E60:E62" si="20">F60-D60</f>
        <v>-54451.960000000006</v>
      </c>
      <c r="F60" s="185">
        <v>50824</v>
      </c>
      <c r="G60" s="186">
        <f t="shared" si="16"/>
        <v>0.48276928559948534</v>
      </c>
    </row>
    <row r="61" spans="1:7" x14ac:dyDescent="0.25">
      <c r="A61" s="85"/>
      <c r="B61" s="187" t="s">
        <v>99</v>
      </c>
      <c r="C61" s="187" t="s">
        <v>66</v>
      </c>
      <c r="D61" s="185">
        <v>11235.6</v>
      </c>
      <c r="E61" s="185">
        <f t="shared" si="20"/>
        <v>18764.400000000001</v>
      </c>
      <c r="F61" s="185">
        <v>30000</v>
      </c>
      <c r="G61" s="186">
        <f t="shared" si="16"/>
        <v>2.6700843746662395</v>
      </c>
    </row>
    <row r="62" spans="1:7" x14ac:dyDescent="0.25">
      <c r="A62" s="85"/>
      <c r="B62" s="187" t="s">
        <v>100</v>
      </c>
      <c r="C62" s="187" t="s">
        <v>101</v>
      </c>
      <c r="D62" s="185">
        <v>0</v>
      </c>
      <c r="E62" s="185">
        <f t="shared" si="20"/>
        <v>0</v>
      </c>
      <c r="F62" s="185">
        <v>0</v>
      </c>
      <c r="G62" s="186"/>
    </row>
    <row r="63" spans="1:7" x14ac:dyDescent="0.25">
      <c r="A63" s="85" t="s">
        <v>146</v>
      </c>
      <c r="B63" s="227" t="s">
        <v>102</v>
      </c>
      <c r="C63" s="227"/>
      <c r="D63" s="183">
        <f t="shared" ref="D63:F63" si="21">D64+D65+D66</f>
        <v>0</v>
      </c>
      <c r="E63" s="183">
        <f t="shared" si="21"/>
        <v>0</v>
      </c>
      <c r="F63" s="183">
        <f t="shared" si="21"/>
        <v>0</v>
      </c>
      <c r="G63" s="184"/>
    </row>
    <row r="64" spans="1:7" x14ac:dyDescent="0.25">
      <c r="A64" s="85"/>
      <c r="B64" s="187" t="s">
        <v>96</v>
      </c>
      <c r="C64" s="187" t="s">
        <v>25</v>
      </c>
      <c r="D64" s="185">
        <v>0</v>
      </c>
      <c r="E64" s="185">
        <f>F64-D64</f>
        <v>0</v>
      </c>
      <c r="F64" s="185">
        <v>0</v>
      </c>
      <c r="G64" s="186"/>
    </row>
    <row r="65" spans="1:7" x14ac:dyDescent="0.25">
      <c r="A65" s="85"/>
      <c r="B65" s="187" t="s">
        <v>97</v>
      </c>
      <c r="C65" s="187" t="s">
        <v>35</v>
      </c>
      <c r="D65" s="185">
        <v>0</v>
      </c>
      <c r="E65" s="185">
        <f t="shared" ref="E65:E66" si="22">F65-D65</f>
        <v>0</v>
      </c>
      <c r="F65" s="185">
        <v>0</v>
      </c>
      <c r="G65" s="186"/>
    </row>
    <row r="66" spans="1:7" x14ac:dyDescent="0.25">
      <c r="A66" s="85"/>
      <c r="B66" s="187" t="s">
        <v>99</v>
      </c>
      <c r="C66" s="187" t="s">
        <v>66</v>
      </c>
      <c r="D66" s="185">
        <v>0</v>
      </c>
      <c r="E66" s="185">
        <f t="shared" si="22"/>
        <v>0</v>
      </c>
      <c r="F66" s="185">
        <v>0</v>
      </c>
      <c r="G66" s="186"/>
    </row>
    <row r="67" spans="1:7" x14ac:dyDescent="0.25">
      <c r="A67" s="85" t="s">
        <v>147</v>
      </c>
      <c r="B67" s="227" t="s">
        <v>84</v>
      </c>
      <c r="C67" s="227"/>
      <c r="D67" s="183">
        <f t="shared" ref="D67:F67" si="23">D68+D69+D70</f>
        <v>16459171.309999999</v>
      </c>
      <c r="E67" s="183">
        <f t="shared" si="23"/>
        <v>411867.45000000019</v>
      </c>
      <c r="F67" s="183">
        <f t="shared" si="23"/>
        <v>16871038.759999998</v>
      </c>
      <c r="G67" s="184">
        <f t="shared" si="16"/>
        <v>1.0250235836448074</v>
      </c>
    </row>
    <row r="68" spans="1:7" x14ac:dyDescent="0.25">
      <c r="A68" s="85"/>
      <c r="B68" s="187" t="s">
        <v>96</v>
      </c>
      <c r="C68" s="187" t="s">
        <v>25</v>
      </c>
      <c r="D68" s="185">
        <v>13910076.68</v>
      </c>
      <c r="E68" s="185">
        <f>F68-D68</f>
        <v>752067.5700000003</v>
      </c>
      <c r="F68" s="185">
        <v>14662144.25</v>
      </c>
      <c r="G68" s="186">
        <f t="shared" si="16"/>
        <v>1.0540663856354817</v>
      </c>
    </row>
    <row r="69" spans="1:7" x14ac:dyDescent="0.25">
      <c r="A69" s="85"/>
      <c r="B69" s="187" t="s">
        <v>97</v>
      </c>
      <c r="C69" s="187" t="s">
        <v>35</v>
      </c>
      <c r="D69" s="185">
        <v>2549094.63</v>
      </c>
      <c r="E69" s="185">
        <f t="shared" ref="E69:E70" si="24">F69-D69</f>
        <v>-340200.12000000011</v>
      </c>
      <c r="F69" s="185">
        <v>2208894.5099999998</v>
      </c>
      <c r="G69" s="186">
        <f t="shared" si="16"/>
        <v>0.86654080394026012</v>
      </c>
    </row>
    <row r="70" spans="1:7" x14ac:dyDescent="0.25">
      <c r="A70" s="85"/>
      <c r="B70" s="187" t="s">
        <v>99</v>
      </c>
      <c r="C70" s="187" t="s">
        <v>66</v>
      </c>
      <c r="D70" s="185">
        <v>0</v>
      </c>
      <c r="E70" s="185">
        <f t="shared" si="24"/>
        <v>0</v>
      </c>
      <c r="F70" s="185">
        <v>0</v>
      </c>
      <c r="G70" s="186"/>
    </row>
    <row r="71" spans="1:7" x14ac:dyDescent="0.25">
      <c r="A71" s="85" t="s">
        <v>148</v>
      </c>
      <c r="B71" s="227" t="s">
        <v>86</v>
      </c>
      <c r="C71" s="227"/>
      <c r="D71" s="183">
        <f t="shared" ref="D71:F71" si="25">D72+D73+D74</f>
        <v>983000</v>
      </c>
      <c r="E71" s="183">
        <f t="shared" si="25"/>
        <v>-451738.22000000003</v>
      </c>
      <c r="F71" s="183">
        <f t="shared" si="25"/>
        <v>531261.78</v>
      </c>
      <c r="G71" s="184">
        <f t="shared" si="16"/>
        <v>0.54044942014242114</v>
      </c>
    </row>
    <row r="72" spans="1:7" x14ac:dyDescent="0.25">
      <c r="A72" s="85"/>
      <c r="B72" s="187" t="s">
        <v>96</v>
      </c>
      <c r="C72" s="187" t="s">
        <v>25</v>
      </c>
      <c r="D72" s="185">
        <v>824000</v>
      </c>
      <c r="E72" s="185">
        <f>F72-D72</f>
        <v>-470612.09</v>
      </c>
      <c r="F72" s="185">
        <v>353387.91</v>
      </c>
      <c r="G72" s="186">
        <f t="shared" si="16"/>
        <v>0.42886882281553396</v>
      </c>
    </row>
    <row r="73" spans="1:7" x14ac:dyDescent="0.25">
      <c r="A73" s="85"/>
      <c r="B73" s="187" t="s">
        <v>97</v>
      </c>
      <c r="C73" s="187" t="s">
        <v>35</v>
      </c>
      <c r="D73" s="185">
        <v>111000</v>
      </c>
      <c r="E73" s="185">
        <f t="shared" ref="E73:E74" si="26">F73-D73</f>
        <v>49873.869999999995</v>
      </c>
      <c r="F73" s="185">
        <v>160873.87</v>
      </c>
      <c r="G73" s="186">
        <f t="shared" si="16"/>
        <v>1.4493141441441442</v>
      </c>
    </row>
    <row r="74" spans="1:7" x14ac:dyDescent="0.25">
      <c r="A74" s="85"/>
      <c r="B74" s="187" t="s">
        <v>99</v>
      </c>
      <c r="C74" s="187" t="s">
        <v>66</v>
      </c>
      <c r="D74" s="185">
        <v>48000</v>
      </c>
      <c r="E74" s="185">
        <f t="shared" si="26"/>
        <v>-31000</v>
      </c>
      <c r="F74" s="185">
        <v>17000</v>
      </c>
      <c r="G74" s="186">
        <f t="shared" si="16"/>
        <v>0.35416666666666669</v>
      </c>
    </row>
    <row r="75" spans="1:7" x14ac:dyDescent="0.25">
      <c r="A75" s="85" t="s">
        <v>149</v>
      </c>
      <c r="B75" s="227" t="s">
        <v>88</v>
      </c>
      <c r="C75" s="227"/>
      <c r="D75" s="183">
        <v>0</v>
      </c>
      <c r="E75" s="183">
        <f>E76</f>
        <v>1900</v>
      </c>
      <c r="F75" s="183">
        <f>SUM(F76)</f>
        <v>1900</v>
      </c>
      <c r="G75" s="184"/>
    </row>
    <row r="76" spans="1:7" x14ac:dyDescent="0.25">
      <c r="A76" s="85"/>
      <c r="B76" s="187" t="s">
        <v>97</v>
      </c>
      <c r="C76" s="187" t="s">
        <v>35</v>
      </c>
      <c r="D76" s="185">
        <v>0</v>
      </c>
      <c r="E76" s="185">
        <f>F76-D76</f>
        <v>1900</v>
      </c>
      <c r="F76" s="185">
        <v>1900</v>
      </c>
      <c r="G76" s="186"/>
    </row>
    <row r="77" spans="1:7" x14ac:dyDescent="0.25">
      <c r="A77" s="85"/>
      <c r="B77" s="226" t="s">
        <v>103</v>
      </c>
      <c r="C77" s="226"/>
      <c r="D77" s="181">
        <f>D78+D80+D82+D85+D89+D94+D97</f>
        <v>1941712.06</v>
      </c>
      <c r="E77" s="181">
        <f>E78+E80+E82+E85+E89+E94+E97</f>
        <v>4048.24999999997</v>
      </c>
      <c r="F77" s="181">
        <f>F78+F80+F82+F85+F89+F94+F97</f>
        <v>1945760.31</v>
      </c>
      <c r="G77" s="182">
        <f t="shared" si="16"/>
        <v>1.0020848868807046</v>
      </c>
    </row>
    <row r="78" spans="1:7" x14ac:dyDescent="0.25">
      <c r="A78" s="85" t="s">
        <v>143</v>
      </c>
      <c r="B78" s="227" t="s">
        <v>74</v>
      </c>
      <c r="C78" s="227"/>
      <c r="D78" s="183">
        <f t="shared" ref="D78:F78" si="27">D79</f>
        <v>224529.83</v>
      </c>
      <c r="E78" s="183">
        <f t="shared" si="27"/>
        <v>0</v>
      </c>
      <c r="F78" s="183">
        <f t="shared" si="27"/>
        <v>224529.83</v>
      </c>
      <c r="G78" s="184">
        <f t="shared" si="16"/>
        <v>1</v>
      </c>
    </row>
    <row r="79" spans="1:7" x14ac:dyDescent="0.25">
      <c r="A79" s="85"/>
      <c r="B79" s="187" t="s">
        <v>104</v>
      </c>
      <c r="C79" s="187" t="s">
        <v>49</v>
      </c>
      <c r="D79" s="185">
        <v>224529.83</v>
      </c>
      <c r="E79" s="185">
        <f>F79-D79</f>
        <v>0</v>
      </c>
      <c r="F79" s="185">
        <v>224529.83</v>
      </c>
      <c r="G79" s="186">
        <f t="shared" si="16"/>
        <v>1</v>
      </c>
    </row>
    <row r="80" spans="1:7" x14ac:dyDescent="0.25">
      <c r="A80" s="85" t="s">
        <v>144</v>
      </c>
      <c r="B80" s="227" t="s">
        <v>98</v>
      </c>
      <c r="C80" s="227"/>
      <c r="D80" s="183">
        <f t="shared" ref="D80:F80" si="28">D81</f>
        <v>0</v>
      </c>
      <c r="E80" s="183">
        <f t="shared" si="28"/>
        <v>0</v>
      </c>
      <c r="F80" s="183">
        <f t="shared" si="28"/>
        <v>0</v>
      </c>
      <c r="G80" s="184"/>
    </row>
    <row r="81" spans="1:7" x14ac:dyDescent="0.25">
      <c r="A81" s="85"/>
      <c r="B81" s="187" t="s">
        <v>104</v>
      </c>
      <c r="C81" s="187" t="s">
        <v>49</v>
      </c>
      <c r="D81" s="185">
        <v>0</v>
      </c>
      <c r="E81" s="185">
        <f>F81-D81</f>
        <v>0</v>
      </c>
      <c r="F81" s="185">
        <v>0</v>
      </c>
      <c r="G81" s="186"/>
    </row>
    <row r="82" spans="1:7" x14ac:dyDescent="0.25">
      <c r="A82" s="85" t="s">
        <v>145</v>
      </c>
      <c r="B82" s="227" t="s">
        <v>77</v>
      </c>
      <c r="C82" s="227"/>
      <c r="D82" s="183">
        <f t="shared" ref="D82:F82" si="29">D83+D84</f>
        <v>31578.440000000002</v>
      </c>
      <c r="E82" s="183">
        <f t="shared" si="29"/>
        <v>4048.2499999999991</v>
      </c>
      <c r="F82" s="183">
        <f t="shared" si="29"/>
        <v>35626.69</v>
      </c>
      <c r="G82" s="184">
        <f t="shared" si="16"/>
        <v>1.1281966430260646</v>
      </c>
    </row>
    <row r="83" spans="1:7" x14ac:dyDescent="0.25">
      <c r="A83" s="85"/>
      <c r="B83" s="187" t="s">
        <v>105</v>
      </c>
      <c r="C83" s="187" t="s">
        <v>27</v>
      </c>
      <c r="D83" s="185">
        <v>1326.31</v>
      </c>
      <c r="E83" s="185">
        <f>F83-D83</f>
        <v>2094.2200000000003</v>
      </c>
      <c r="F83" s="185">
        <v>3420.53</v>
      </c>
      <c r="G83" s="186">
        <f t="shared" si="16"/>
        <v>2.5789822892084056</v>
      </c>
    </row>
    <row r="84" spans="1:7" x14ac:dyDescent="0.25">
      <c r="A84" s="85"/>
      <c r="B84" s="187" t="s">
        <v>104</v>
      </c>
      <c r="C84" s="187" t="s">
        <v>49</v>
      </c>
      <c r="D84" s="185">
        <v>30252.13</v>
      </c>
      <c r="E84" s="185">
        <f>F84-D84</f>
        <v>1954.0299999999988</v>
      </c>
      <c r="F84" s="185">
        <v>32206.16</v>
      </c>
      <c r="G84" s="186">
        <f t="shared" si="16"/>
        <v>1.0645914849632074</v>
      </c>
    </row>
    <row r="85" spans="1:7" hidden="1" x14ac:dyDescent="0.25">
      <c r="A85" s="85" t="s">
        <v>146</v>
      </c>
      <c r="B85" s="227" t="s">
        <v>102</v>
      </c>
      <c r="C85" s="227"/>
      <c r="D85" s="183">
        <f>D86+D87+D88</f>
        <v>0</v>
      </c>
      <c r="E85" s="183">
        <f>E86+E87+E88</f>
        <v>0</v>
      </c>
      <c r="F85" s="183">
        <f>F86+F87+F88</f>
        <v>0</v>
      </c>
      <c r="G85" s="184" t="e">
        <f t="shared" si="16"/>
        <v>#DIV/0!</v>
      </c>
    </row>
    <row r="86" spans="1:7" hidden="1" x14ac:dyDescent="0.25">
      <c r="A86" s="85"/>
      <c r="B86" s="187" t="s">
        <v>105</v>
      </c>
      <c r="C86" s="187" t="s">
        <v>27</v>
      </c>
      <c r="D86" s="185"/>
      <c r="E86" s="185"/>
      <c r="F86" s="185"/>
      <c r="G86" s="186" t="e">
        <f t="shared" si="16"/>
        <v>#DIV/0!</v>
      </c>
    </row>
    <row r="87" spans="1:7" hidden="1" x14ac:dyDescent="0.25">
      <c r="A87" s="85"/>
      <c r="B87" s="187" t="s">
        <v>104</v>
      </c>
      <c r="C87" s="187" t="s">
        <v>49</v>
      </c>
      <c r="D87" s="185"/>
      <c r="E87" s="185"/>
      <c r="F87" s="185"/>
      <c r="G87" s="186" t="e">
        <f t="shared" si="16"/>
        <v>#DIV/0!</v>
      </c>
    </row>
    <row r="88" spans="1:7" hidden="1" x14ac:dyDescent="0.25">
      <c r="A88" s="85"/>
      <c r="B88" s="187" t="s">
        <v>97</v>
      </c>
      <c r="C88" s="187" t="s">
        <v>35</v>
      </c>
      <c r="D88" s="185"/>
      <c r="E88" s="185"/>
      <c r="F88" s="185"/>
      <c r="G88" s="186" t="e">
        <f t="shared" si="16"/>
        <v>#DIV/0!</v>
      </c>
    </row>
    <row r="89" spans="1:7" x14ac:dyDescent="0.25">
      <c r="A89" s="85" t="s">
        <v>150</v>
      </c>
      <c r="B89" s="227" t="s">
        <v>75</v>
      </c>
      <c r="C89" s="227"/>
      <c r="D89" s="183">
        <f t="shared" ref="D89:F89" si="30">D90+D91+D92+D93</f>
        <v>1656303.79</v>
      </c>
      <c r="E89" s="183">
        <f t="shared" si="30"/>
        <v>-2.9103830456733704E-11</v>
      </c>
      <c r="F89" s="183">
        <f t="shared" si="30"/>
        <v>1656303.79</v>
      </c>
      <c r="G89" s="184">
        <f t="shared" si="16"/>
        <v>1</v>
      </c>
    </row>
    <row r="90" spans="1:7" x14ac:dyDescent="0.25">
      <c r="A90" s="85"/>
      <c r="B90" s="187" t="s">
        <v>97</v>
      </c>
      <c r="C90" s="187" t="s">
        <v>35</v>
      </c>
      <c r="D90" s="185">
        <v>611111.67000000004</v>
      </c>
      <c r="E90" s="185">
        <f>F90-D90</f>
        <v>9372.890000000014</v>
      </c>
      <c r="F90" s="185">
        <v>620484.56000000006</v>
      </c>
      <c r="G90" s="186">
        <f t="shared" si="16"/>
        <v>1.0153374423368482</v>
      </c>
    </row>
    <row r="91" spans="1:7" x14ac:dyDescent="0.25">
      <c r="A91" s="85"/>
      <c r="B91" s="187" t="s">
        <v>105</v>
      </c>
      <c r="C91" s="187" t="s">
        <v>27</v>
      </c>
      <c r="D91" s="185">
        <v>239315.82</v>
      </c>
      <c r="E91" s="185">
        <f t="shared" ref="E91:E93" si="31">F91-D91</f>
        <v>-15736.350000000006</v>
      </c>
      <c r="F91" s="185">
        <v>223579.47</v>
      </c>
      <c r="G91" s="186">
        <f t="shared" si="16"/>
        <v>0.93424442228683413</v>
      </c>
    </row>
    <row r="92" spans="1:7" x14ac:dyDescent="0.25">
      <c r="A92" s="85"/>
      <c r="B92" s="187" t="s">
        <v>104</v>
      </c>
      <c r="C92" s="187" t="s">
        <v>49</v>
      </c>
      <c r="D92" s="185">
        <v>805876.3</v>
      </c>
      <c r="E92" s="185">
        <f t="shared" si="31"/>
        <v>6363.4599999999627</v>
      </c>
      <c r="F92" s="185">
        <v>812239.76</v>
      </c>
      <c r="G92" s="186">
        <f t="shared" si="16"/>
        <v>1.0078963235424592</v>
      </c>
    </row>
    <row r="93" spans="1:7" x14ac:dyDescent="0.25">
      <c r="A93" s="85"/>
      <c r="B93" s="187" t="s">
        <v>106</v>
      </c>
      <c r="C93" s="187" t="s">
        <v>107</v>
      </c>
      <c r="D93" s="185">
        <v>0</v>
      </c>
      <c r="E93" s="185">
        <f t="shared" si="31"/>
        <v>0</v>
      </c>
      <c r="F93" s="185">
        <v>0</v>
      </c>
      <c r="G93" s="186"/>
    </row>
    <row r="94" spans="1:7" x14ac:dyDescent="0.25">
      <c r="A94" s="85" t="s">
        <v>149</v>
      </c>
      <c r="B94" s="227" t="s">
        <v>88</v>
      </c>
      <c r="C94" s="227"/>
      <c r="D94" s="183">
        <f t="shared" ref="D94:F94" si="32">D95+D96</f>
        <v>0</v>
      </c>
      <c r="E94" s="183">
        <f t="shared" si="32"/>
        <v>0</v>
      </c>
      <c r="F94" s="183">
        <f t="shared" si="32"/>
        <v>0</v>
      </c>
      <c r="G94" s="184"/>
    </row>
    <row r="95" spans="1:7" x14ac:dyDescent="0.25">
      <c r="A95" s="85"/>
      <c r="B95" s="187" t="s">
        <v>97</v>
      </c>
      <c r="C95" s="187" t="s">
        <v>35</v>
      </c>
      <c r="D95" s="185">
        <v>0</v>
      </c>
      <c r="E95" s="185">
        <f>F95-D95</f>
        <v>0</v>
      </c>
      <c r="F95" s="185">
        <v>0</v>
      </c>
      <c r="G95" s="186"/>
    </row>
    <row r="96" spans="1:7" x14ac:dyDescent="0.25">
      <c r="A96" s="85"/>
      <c r="B96" s="187" t="s">
        <v>104</v>
      </c>
      <c r="C96" s="187" t="s">
        <v>49</v>
      </c>
      <c r="D96" s="185">
        <v>0</v>
      </c>
      <c r="E96" s="185">
        <f>F96-D96</f>
        <v>0</v>
      </c>
      <c r="F96" s="185">
        <v>0</v>
      </c>
      <c r="G96" s="186"/>
    </row>
    <row r="97" spans="1:7" x14ac:dyDescent="0.25">
      <c r="A97" s="85" t="s">
        <v>151</v>
      </c>
      <c r="B97" s="227" t="s">
        <v>89</v>
      </c>
      <c r="C97" s="227"/>
      <c r="D97" s="183">
        <f t="shared" ref="D97:F97" si="33">D98+D99</f>
        <v>29300</v>
      </c>
      <c r="E97" s="183">
        <f t="shared" si="33"/>
        <v>0</v>
      </c>
      <c r="F97" s="183">
        <f t="shared" si="33"/>
        <v>29300</v>
      </c>
      <c r="G97" s="184">
        <f t="shared" ref="G97:G136" si="34">F97/D97</f>
        <v>1</v>
      </c>
    </row>
    <row r="98" spans="1:7" x14ac:dyDescent="0.25">
      <c r="A98" s="85"/>
      <c r="B98" s="187" t="s">
        <v>97</v>
      </c>
      <c r="C98" s="187" t="s">
        <v>35</v>
      </c>
      <c r="D98" s="185">
        <v>19000</v>
      </c>
      <c r="E98" s="185">
        <f>F98-D98</f>
        <v>0</v>
      </c>
      <c r="F98" s="185">
        <v>19000</v>
      </c>
      <c r="G98" s="186">
        <f t="shared" si="34"/>
        <v>1</v>
      </c>
    </row>
    <row r="99" spans="1:7" x14ac:dyDescent="0.25">
      <c r="A99" s="85"/>
      <c r="B99" s="187" t="s">
        <v>104</v>
      </c>
      <c r="C99" s="187" t="s">
        <v>49</v>
      </c>
      <c r="D99" s="185">
        <v>10300</v>
      </c>
      <c r="E99" s="185">
        <f>F99-D99</f>
        <v>0</v>
      </c>
      <c r="F99" s="185">
        <v>10300</v>
      </c>
      <c r="G99" s="186">
        <f t="shared" si="34"/>
        <v>1</v>
      </c>
    </row>
    <row r="100" spans="1:7" x14ac:dyDescent="0.25">
      <c r="A100" s="85"/>
      <c r="B100" s="226" t="s">
        <v>108</v>
      </c>
      <c r="C100" s="226"/>
      <c r="D100" s="181">
        <f>D101+D104+D107+D110</f>
        <v>678024.87</v>
      </c>
      <c r="E100" s="181">
        <f>E101+E104+E107+E110</f>
        <v>-21554.869999999992</v>
      </c>
      <c r="F100" s="181">
        <f>F101+F104+F107+F110</f>
        <v>656470</v>
      </c>
      <c r="G100" s="182">
        <f t="shared" si="34"/>
        <v>0.96820932246924807</v>
      </c>
    </row>
    <row r="101" spans="1:7" x14ac:dyDescent="0.25">
      <c r="A101" s="85" t="s">
        <v>143</v>
      </c>
      <c r="B101" s="227" t="s">
        <v>74</v>
      </c>
      <c r="C101" s="227"/>
      <c r="D101" s="183">
        <f t="shared" ref="D101:F101" si="35">D102+D103</f>
        <v>95825.87000000001</v>
      </c>
      <c r="E101" s="183">
        <f t="shared" si="35"/>
        <v>-21554.870000000006</v>
      </c>
      <c r="F101" s="183">
        <f t="shared" si="35"/>
        <v>74271</v>
      </c>
      <c r="G101" s="184">
        <f t="shared" si="34"/>
        <v>0.77506209961881889</v>
      </c>
    </row>
    <row r="102" spans="1:7" x14ac:dyDescent="0.25">
      <c r="A102" s="85"/>
      <c r="B102" s="187" t="s">
        <v>96</v>
      </c>
      <c r="C102" s="187" t="s">
        <v>25</v>
      </c>
      <c r="D102" s="185">
        <v>91578.74</v>
      </c>
      <c r="E102" s="185">
        <f>F102-D102</f>
        <v>-22257.240000000005</v>
      </c>
      <c r="F102" s="185">
        <v>69321.5</v>
      </c>
      <c r="G102" s="186">
        <f t="shared" si="34"/>
        <v>0.75696062208324766</v>
      </c>
    </row>
    <row r="103" spans="1:7" x14ac:dyDescent="0.25">
      <c r="A103" s="85"/>
      <c r="B103" s="187" t="s">
        <v>97</v>
      </c>
      <c r="C103" s="187" t="s">
        <v>35</v>
      </c>
      <c r="D103" s="185">
        <v>4247.13</v>
      </c>
      <c r="E103" s="185">
        <f>F103-D103</f>
        <v>702.36999999999989</v>
      </c>
      <c r="F103" s="185">
        <v>4949.5</v>
      </c>
      <c r="G103" s="186">
        <f t="shared" si="34"/>
        <v>1.1653752063157945</v>
      </c>
    </row>
    <row r="104" spans="1:7" x14ac:dyDescent="0.25">
      <c r="A104" s="85" t="s">
        <v>147</v>
      </c>
      <c r="B104" s="227" t="s">
        <v>84</v>
      </c>
      <c r="C104" s="227"/>
      <c r="D104" s="183">
        <f t="shared" ref="D104:F104" si="36">D105+D106</f>
        <v>496989</v>
      </c>
      <c r="E104" s="183">
        <f t="shared" si="36"/>
        <v>1.4551915228366852E-11</v>
      </c>
      <c r="F104" s="183">
        <f t="shared" si="36"/>
        <v>496989</v>
      </c>
      <c r="G104" s="184">
        <f t="shared" si="34"/>
        <v>1</v>
      </c>
    </row>
    <row r="105" spans="1:7" x14ac:dyDescent="0.25">
      <c r="A105" s="85"/>
      <c r="B105" s="187" t="s">
        <v>96</v>
      </c>
      <c r="C105" s="187" t="s">
        <v>25</v>
      </c>
      <c r="D105" s="185">
        <v>484989</v>
      </c>
      <c r="E105" s="185">
        <f>F105-D105</f>
        <v>402.89000000001397</v>
      </c>
      <c r="F105" s="185">
        <v>485391.89</v>
      </c>
      <c r="G105" s="186">
        <f t="shared" si="34"/>
        <v>1.0008307198719972</v>
      </c>
    </row>
    <row r="106" spans="1:7" x14ac:dyDescent="0.25">
      <c r="A106" s="85"/>
      <c r="B106" s="187" t="s">
        <v>97</v>
      </c>
      <c r="C106" s="187" t="s">
        <v>35</v>
      </c>
      <c r="D106" s="185">
        <v>12000</v>
      </c>
      <c r="E106" s="185">
        <f>F106-D106</f>
        <v>-402.88999999999942</v>
      </c>
      <c r="F106" s="185">
        <v>11597.11</v>
      </c>
      <c r="G106" s="186">
        <f t="shared" si="34"/>
        <v>0.96642583333333343</v>
      </c>
    </row>
    <row r="107" spans="1:7" x14ac:dyDescent="0.25">
      <c r="A107" s="85" t="s">
        <v>148</v>
      </c>
      <c r="B107" s="227" t="s">
        <v>86</v>
      </c>
      <c r="C107" s="227"/>
      <c r="D107" s="183">
        <f t="shared" ref="D107:F107" si="37">D108+D109</f>
        <v>85210</v>
      </c>
      <c r="E107" s="183">
        <f t="shared" si="37"/>
        <v>0</v>
      </c>
      <c r="F107" s="183">
        <f t="shared" si="37"/>
        <v>85210</v>
      </c>
      <c r="G107" s="184">
        <f t="shared" si="34"/>
        <v>1</v>
      </c>
    </row>
    <row r="108" spans="1:7" x14ac:dyDescent="0.25">
      <c r="A108" s="85"/>
      <c r="B108" s="187" t="s">
        <v>96</v>
      </c>
      <c r="C108" s="187" t="s">
        <v>25</v>
      </c>
      <c r="D108" s="185">
        <v>78910</v>
      </c>
      <c r="E108" s="185">
        <f>F108-D108</f>
        <v>4354.0800000000017</v>
      </c>
      <c r="F108" s="185">
        <v>83264.08</v>
      </c>
      <c r="G108" s="186">
        <f t="shared" si="34"/>
        <v>1.0551777974908123</v>
      </c>
    </row>
    <row r="109" spans="1:7" x14ac:dyDescent="0.25">
      <c r="A109" s="85"/>
      <c r="B109" s="187" t="s">
        <v>97</v>
      </c>
      <c r="C109" s="187" t="s">
        <v>35</v>
      </c>
      <c r="D109" s="185">
        <v>6300</v>
      </c>
      <c r="E109" s="185">
        <f>F109-D109</f>
        <v>-4354.08</v>
      </c>
      <c r="F109" s="185">
        <v>1945.92</v>
      </c>
      <c r="G109" s="186">
        <f t="shared" si="34"/>
        <v>0.30887619047619047</v>
      </c>
    </row>
    <row r="110" spans="1:7" x14ac:dyDescent="0.25">
      <c r="A110" s="85" t="s">
        <v>149</v>
      </c>
      <c r="B110" s="227" t="s">
        <v>152</v>
      </c>
      <c r="C110" s="227"/>
      <c r="D110" s="183">
        <f>D111</f>
        <v>0</v>
      </c>
      <c r="E110" s="183">
        <f>E111</f>
        <v>0</v>
      </c>
      <c r="F110" s="183">
        <f>F111</f>
        <v>0</v>
      </c>
      <c r="G110" s="184"/>
    </row>
    <row r="111" spans="1:7" x14ac:dyDescent="0.25">
      <c r="A111" s="85"/>
      <c r="B111" s="187" t="s">
        <v>96</v>
      </c>
      <c r="C111" s="187" t="s">
        <v>25</v>
      </c>
      <c r="D111" s="185">
        <v>0</v>
      </c>
      <c r="E111" s="185">
        <f>F111-D111</f>
        <v>0</v>
      </c>
      <c r="F111" s="185">
        <v>0</v>
      </c>
      <c r="G111" s="186"/>
    </row>
    <row r="112" spans="1:7" x14ac:dyDescent="0.25">
      <c r="A112" s="85"/>
      <c r="B112" s="228" t="s">
        <v>109</v>
      </c>
      <c r="C112" s="229"/>
      <c r="D112" s="181">
        <f t="shared" ref="D112:F112" si="38">D113</f>
        <v>13272.28</v>
      </c>
      <c r="E112" s="181">
        <f t="shared" si="38"/>
        <v>-13272.28</v>
      </c>
      <c r="F112" s="181">
        <f t="shared" si="38"/>
        <v>0</v>
      </c>
      <c r="G112" s="182">
        <f t="shared" si="34"/>
        <v>0</v>
      </c>
    </row>
    <row r="113" spans="1:7" x14ac:dyDescent="0.25">
      <c r="A113" s="85" t="s">
        <v>143</v>
      </c>
      <c r="B113" s="230" t="s">
        <v>74</v>
      </c>
      <c r="C113" s="231"/>
      <c r="D113" s="183">
        <f t="shared" ref="D113:F113" si="39">D114+D115</f>
        <v>13272.28</v>
      </c>
      <c r="E113" s="183">
        <f t="shared" si="39"/>
        <v>-13272.28</v>
      </c>
      <c r="F113" s="183">
        <f t="shared" si="39"/>
        <v>0</v>
      </c>
      <c r="G113" s="184">
        <f t="shared" si="34"/>
        <v>0</v>
      </c>
    </row>
    <row r="114" spans="1:7" x14ac:dyDescent="0.25">
      <c r="A114" s="85"/>
      <c r="B114" s="187" t="s">
        <v>96</v>
      </c>
      <c r="C114" s="187" t="s">
        <v>25</v>
      </c>
      <c r="D114" s="185">
        <v>12608.67</v>
      </c>
      <c r="E114" s="185">
        <f>F114-D114</f>
        <v>-12608.67</v>
      </c>
      <c r="F114" s="185">
        <v>0</v>
      </c>
      <c r="G114" s="186">
        <f t="shared" si="34"/>
        <v>0</v>
      </c>
    </row>
    <row r="115" spans="1:7" x14ac:dyDescent="0.25">
      <c r="A115" s="85"/>
      <c r="B115" s="187" t="s">
        <v>97</v>
      </c>
      <c r="C115" s="187" t="s">
        <v>35</v>
      </c>
      <c r="D115" s="185">
        <v>663.61</v>
      </c>
      <c r="E115" s="185">
        <f>F115-D115</f>
        <v>-663.61</v>
      </c>
      <c r="F115" s="185">
        <v>0</v>
      </c>
      <c r="G115" s="186">
        <f t="shared" si="34"/>
        <v>0</v>
      </c>
    </row>
    <row r="116" spans="1:7" x14ac:dyDescent="0.25">
      <c r="A116" s="85"/>
      <c r="B116" s="226" t="s">
        <v>110</v>
      </c>
      <c r="C116" s="226"/>
      <c r="D116" s="181">
        <f>D117+D120</f>
        <v>39802.28</v>
      </c>
      <c r="E116" s="181">
        <f>E117+E120</f>
        <v>0</v>
      </c>
      <c r="F116" s="181">
        <f>F117+F120</f>
        <v>39802.28</v>
      </c>
      <c r="G116" s="182">
        <f t="shared" si="34"/>
        <v>1</v>
      </c>
    </row>
    <row r="117" spans="1:7" x14ac:dyDescent="0.25">
      <c r="A117" s="85" t="s">
        <v>153</v>
      </c>
      <c r="B117" s="227" t="s">
        <v>76</v>
      </c>
      <c r="C117" s="227"/>
      <c r="D117" s="183">
        <f t="shared" ref="D117:F117" si="40">D118+D119</f>
        <v>26530</v>
      </c>
      <c r="E117" s="183">
        <f t="shared" si="40"/>
        <v>0</v>
      </c>
      <c r="F117" s="183">
        <f t="shared" si="40"/>
        <v>26530</v>
      </c>
      <c r="G117" s="184">
        <f t="shared" si="34"/>
        <v>1</v>
      </c>
    </row>
    <row r="118" spans="1:7" x14ac:dyDescent="0.25">
      <c r="A118" s="85"/>
      <c r="B118" s="187" t="s">
        <v>97</v>
      </c>
      <c r="C118" s="187" t="s">
        <v>35</v>
      </c>
      <c r="D118" s="185">
        <v>26530</v>
      </c>
      <c r="E118" s="185">
        <f>F118-D118</f>
        <v>-9999.4700000000012</v>
      </c>
      <c r="F118" s="185">
        <v>16530.53</v>
      </c>
      <c r="G118" s="186">
        <f t="shared" si="34"/>
        <v>0.62308820203543158</v>
      </c>
    </row>
    <row r="119" spans="1:7" x14ac:dyDescent="0.25">
      <c r="A119" s="85"/>
      <c r="B119" s="187" t="s">
        <v>104</v>
      </c>
      <c r="C119" s="187" t="s">
        <v>49</v>
      </c>
      <c r="D119" s="185">
        <v>0</v>
      </c>
      <c r="E119" s="185">
        <f>F119-D119</f>
        <v>9999.4699999999993</v>
      </c>
      <c r="F119" s="185">
        <v>9999.4699999999993</v>
      </c>
      <c r="G119" s="186"/>
    </row>
    <row r="120" spans="1:7" x14ac:dyDescent="0.25">
      <c r="A120" s="85" t="s">
        <v>154</v>
      </c>
      <c r="B120" s="227" t="s">
        <v>118</v>
      </c>
      <c r="C120" s="227"/>
      <c r="D120" s="183">
        <f t="shared" ref="D120:F120" si="41">D121+D122</f>
        <v>13272.28</v>
      </c>
      <c r="E120" s="183">
        <f t="shared" si="41"/>
        <v>0</v>
      </c>
      <c r="F120" s="183">
        <f t="shared" si="41"/>
        <v>13272.28</v>
      </c>
      <c r="G120" s="184">
        <f t="shared" si="34"/>
        <v>1</v>
      </c>
    </row>
    <row r="121" spans="1:7" x14ac:dyDescent="0.25">
      <c r="A121" s="85"/>
      <c r="B121" s="187" t="s">
        <v>97</v>
      </c>
      <c r="C121" s="187" t="s">
        <v>35</v>
      </c>
      <c r="D121" s="185">
        <v>0</v>
      </c>
      <c r="E121" s="185">
        <f>F121-D121</f>
        <v>0</v>
      </c>
      <c r="F121" s="185">
        <v>0</v>
      </c>
      <c r="G121" s="186"/>
    </row>
    <row r="122" spans="1:7" x14ac:dyDescent="0.25">
      <c r="A122" s="85"/>
      <c r="B122" s="187" t="s">
        <v>104</v>
      </c>
      <c r="C122" s="187" t="s">
        <v>49</v>
      </c>
      <c r="D122" s="185">
        <v>13272.28</v>
      </c>
      <c r="E122" s="185">
        <f>F122-D122</f>
        <v>0</v>
      </c>
      <c r="F122" s="185">
        <v>13272.28</v>
      </c>
      <c r="G122" s="186">
        <f t="shared" si="34"/>
        <v>1</v>
      </c>
    </row>
    <row r="123" spans="1:7" x14ac:dyDescent="0.25">
      <c r="A123" s="85"/>
      <c r="B123" s="226" t="s">
        <v>111</v>
      </c>
      <c r="C123" s="226"/>
      <c r="D123" s="181">
        <f>D127+D130+D124</f>
        <v>210000</v>
      </c>
      <c r="E123" s="181">
        <f>E127+E130+E124</f>
        <v>90000</v>
      </c>
      <c r="F123" s="181">
        <f>F127+F130+F124</f>
        <v>300000</v>
      </c>
      <c r="G123" s="182">
        <f t="shared" si="34"/>
        <v>1.4285714285714286</v>
      </c>
    </row>
    <row r="124" spans="1:7" x14ac:dyDescent="0.25">
      <c r="A124" s="85" t="s">
        <v>145</v>
      </c>
      <c r="B124" s="227" t="s">
        <v>77</v>
      </c>
      <c r="C124" s="227"/>
      <c r="D124" s="183">
        <f t="shared" ref="D124" si="42">SUM(D125:D126)</f>
        <v>0</v>
      </c>
      <c r="E124" s="183">
        <f>SUM(E125:E126)</f>
        <v>90000</v>
      </c>
      <c r="F124" s="183">
        <f>SUM(F125:F126)</f>
        <v>90000</v>
      </c>
      <c r="G124" s="184"/>
    </row>
    <row r="125" spans="1:7" x14ac:dyDescent="0.25">
      <c r="A125" s="85"/>
      <c r="B125" s="187" t="s">
        <v>96</v>
      </c>
      <c r="C125" s="187" t="s">
        <v>25</v>
      </c>
      <c r="D125" s="185">
        <v>0</v>
      </c>
      <c r="E125" s="185">
        <f>F125-D125</f>
        <v>88000</v>
      </c>
      <c r="F125" s="185">
        <v>88000</v>
      </c>
      <c r="G125" s="186"/>
    </row>
    <row r="126" spans="1:7" x14ac:dyDescent="0.25">
      <c r="A126" s="85"/>
      <c r="B126" s="187" t="s">
        <v>97</v>
      </c>
      <c r="C126" s="187" t="s">
        <v>35</v>
      </c>
      <c r="D126" s="185">
        <v>0</v>
      </c>
      <c r="E126" s="185">
        <f>F126-D126</f>
        <v>2000</v>
      </c>
      <c r="F126" s="185">
        <v>2000</v>
      </c>
      <c r="G126" s="186"/>
    </row>
    <row r="127" spans="1:7" x14ac:dyDescent="0.25">
      <c r="A127" s="85" t="s">
        <v>148</v>
      </c>
      <c r="B127" s="227" t="s">
        <v>86</v>
      </c>
      <c r="C127" s="227"/>
      <c r="D127" s="183">
        <f t="shared" ref="D127:F127" si="43">D128+D129</f>
        <v>51000</v>
      </c>
      <c r="E127" s="183">
        <f t="shared" si="43"/>
        <v>-19500</v>
      </c>
      <c r="F127" s="183">
        <f t="shared" si="43"/>
        <v>31500</v>
      </c>
      <c r="G127" s="184">
        <f t="shared" si="34"/>
        <v>0.61764705882352944</v>
      </c>
    </row>
    <row r="128" spans="1:7" x14ac:dyDescent="0.25">
      <c r="A128" s="85"/>
      <c r="B128" s="187" t="s">
        <v>96</v>
      </c>
      <c r="C128" s="187" t="s">
        <v>25</v>
      </c>
      <c r="D128" s="185">
        <v>43350</v>
      </c>
      <c r="E128" s="185">
        <f>F128-D128</f>
        <v>-19500</v>
      </c>
      <c r="F128" s="185">
        <v>23850</v>
      </c>
      <c r="G128" s="186">
        <f t="shared" si="34"/>
        <v>0.55017301038062283</v>
      </c>
    </row>
    <row r="129" spans="1:7" x14ac:dyDescent="0.25">
      <c r="A129" s="85"/>
      <c r="B129" s="187" t="s">
        <v>97</v>
      </c>
      <c r="C129" s="187" t="s">
        <v>35</v>
      </c>
      <c r="D129" s="185">
        <v>7650</v>
      </c>
      <c r="E129" s="185">
        <f>F129-D129</f>
        <v>0</v>
      </c>
      <c r="F129" s="185">
        <v>7650</v>
      </c>
      <c r="G129" s="186">
        <f t="shared" si="34"/>
        <v>1</v>
      </c>
    </row>
    <row r="130" spans="1:7" x14ac:dyDescent="0.25">
      <c r="A130" s="85" t="s">
        <v>155</v>
      </c>
      <c r="B130" s="227" t="s">
        <v>87</v>
      </c>
      <c r="C130" s="227"/>
      <c r="D130" s="183">
        <f t="shared" ref="D130:F130" si="44">D131+D132</f>
        <v>159000</v>
      </c>
      <c r="E130" s="183">
        <f t="shared" si="44"/>
        <v>19500</v>
      </c>
      <c r="F130" s="183">
        <f t="shared" si="44"/>
        <v>178500</v>
      </c>
      <c r="G130" s="184">
        <f t="shared" si="34"/>
        <v>1.1226415094339623</v>
      </c>
    </row>
    <row r="131" spans="1:7" x14ac:dyDescent="0.25">
      <c r="A131" s="85"/>
      <c r="B131" s="187" t="s">
        <v>96</v>
      </c>
      <c r="C131" s="187" t="s">
        <v>25</v>
      </c>
      <c r="D131" s="185">
        <v>135150</v>
      </c>
      <c r="E131" s="185">
        <f>F131-D131</f>
        <v>0</v>
      </c>
      <c r="F131" s="185">
        <v>135150</v>
      </c>
      <c r="G131" s="186">
        <f t="shared" si="34"/>
        <v>1</v>
      </c>
    </row>
    <row r="132" spans="1:7" x14ac:dyDescent="0.25">
      <c r="A132" s="85"/>
      <c r="B132" s="187" t="s">
        <v>97</v>
      </c>
      <c r="C132" s="187" t="s">
        <v>35</v>
      </c>
      <c r="D132" s="185">
        <v>23850</v>
      </c>
      <c r="E132" s="185">
        <f>F132-D132</f>
        <v>19500</v>
      </c>
      <c r="F132" s="185">
        <v>43350</v>
      </c>
      <c r="G132" s="186">
        <f t="shared" si="34"/>
        <v>1.8176100628930818</v>
      </c>
    </row>
    <row r="133" spans="1:7" x14ac:dyDescent="0.25">
      <c r="A133" s="85"/>
      <c r="B133" s="226" t="s">
        <v>112</v>
      </c>
      <c r="C133" s="226"/>
      <c r="D133" s="181">
        <f>D134+D138</f>
        <v>762000</v>
      </c>
      <c r="E133" s="181">
        <f>E134+E138</f>
        <v>0</v>
      </c>
      <c r="F133" s="181">
        <f>F134+F138</f>
        <v>762000</v>
      </c>
      <c r="G133" s="182">
        <f t="shared" si="34"/>
        <v>1</v>
      </c>
    </row>
    <row r="134" spans="1:7" x14ac:dyDescent="0.25">
      <c r="A134" s="85" t="s">
        <v>145</v>
      </c>
      <c r="B134" s="227" t="s">
        <v>77</v>
      </c>
      <c r="C134" s="227"/>
      <c r="D134" s="183">
        <f t="shared" ref="D134:F134" si="45">D135+D136+D137</f>
        <v>12000</v>
      </c>
      <c r="E134" s="183">
        <f t="shared" si="45"/>
        <v>0</v>
      </c>
      <c r="F134" s="183">
        <f t="shared" si="45"/>
        <v>12000</v>
      </c>
      <c r="G134" s="184">
        <f t="shared" si="34"/>
        <v>1</v>
      </c>
    </row>
    <row r="135" spans="1:7" x14ac:dyDescent="0.25">
      <c r="A135" s="85"/>
      <c r="B135" s="187" t="s">
        <v>96</v>
      </c>
      <c r="C135" s="187" t="s">
        <v>25</v>
      </c>
      <c r="D135" s="185">
        <v>2000</v>
      </c>
      <c r="E135" s="185">
        <f>F135-D135</f>
        <v>0</v>
      </c>
      <c r="F135" s="185">
        <v>2000</v>
      </c>
      <c r="G135" s="186">
        <f t="shared" si="34"/>
        <v>1</v>
      </c>
    </row>
    <row r="136" spans="1:7" x14ac:dyDescent="0.25">
      <c r="A136" s="85"/>
      <c r="B136" s="187" t="s">
        <v>97</v>
      </c>
      <c r="C136" s="187" t="s">
        <v>35</v>
      </c>
      <c r="D136" s="185">
        <v>10000</v>
      </c>
      <c r="E136" s="185">
        <f t="shared" ref="E136:E137" si="46">F136-D136</f>
        <v>0</v>
      </c>
      <c r="F136" s="185">
        <v>10000</v>
      </c>
      <c r="G136" s="186">
        <f t="shared" si="34"/>
        <v>1</v>
      </c>
    </row>
    <row r="137" spans="1:7" x14ac:dyDescent="0.25">
      <c r="A137" s="85"/>
      <c r="B137" s="187" t="s">
        <v>104</v>
      </c>
      <c r="C137" s="187" t="s">
        <v>49</v>
      </c>
      <c r="D137" s="185">
        <v>0</v>
      </c>
      <c r="E137" s="185">
        <f t="shared" si="46"/>
        <v>0</v>
      </c>
      <c r="F137" s="185">
        <v>0</v>
      </c>
      <c r="G137" s="186"/>
    </row>
    <row r="138" spans="1:7" x14ac:dyDescent="0.25">
      <c r="A138" s="85" t="s">
        <v>148</v>
      </c>
      <c r="B138" s="227" t="s">
        <v>86</v>
      </c>
      <c r="C138" s="227"/>
      <c r="D138" s="183">
        <f t="shared" ref="D138:F138" si="47">D139</f>
        <v>750000</v>
      </c>
      <c r="E138" s="183">
        <f t="shared" si="47"/>
        <v>0</v>
      </c>
      <c r="F138" s="183">
        <f t="shared" si="47"/>
        <v>750000</v>
      </c>
      <c r="G138" s="184">
        <f t="shared" ref="G138:G147" si="48">F138/D138</f>
        <v>1</v>
      </c>
    </row>
    <row r="139" spans="1:7" x14ac:dyDescent="0.25">
      <c r="A139" s="85"/>
      <c r="B139" s="187" t="s">
        <v>96</v>
      </c>
      <c r="C139" s="187" t="s">
        <v>25</v>
      </c>
      <c r="D139" s="185">
        <v>750000</v>
      </c>
      <c r="E139" s="185">
        <f>F139-D139</f>
        <v>0</v>
      </c>
      <c r="F139" s="185">
        <v>750000</v>
      </c>
      <c r="G139" s="186">
        <f t="shared" si="48"/>
        <v>1</v>
      </c>
    </row>
    <row r="140" spans="1:7" x14ac:dyDescent="0.25">
      <c r="A140" s="85"/>
      <c r="B140" s="226" t="s">
        <v>121</v>
      </c>
      <c r="C140" s="226"/>
      <c r="D140" s="181">
        <f t="shared" ref="D140:F140" si="49">D141</f>
        <v>301600</v>
      </c>
      <c r="E140" s="181">
        <f t="shared" si="49"/>
        <v>-81600</v>
      </c>
      <c r="F140" s="181">
        <f t="shared" si="49"/>
        <v>220000</v>
      </c>
      <c r="G140" s="182">
        <f t="shared" si="48"/>
        <v>0.72944297082228116</v>
      </c>
    </row>
    <row r="141" spans="1:7" x14ac:dyDescent="0.25">
      <c r="A141" s="85" t="s">
        <v>155</v>
      </c>
      <c r="B141" s="227" t="s">
        <v>119</v>
      </c>
      <c r="C141" s="227"/>
      <c r="D141" s="183">
        <f t="shared" ref="D141:F141" si="50">D142+D143</f>
        <v>301600</v>
      </c>
      <c r="E141" s="183">
        <f t="shared" si="50"/>
        <v>-81600</v>
      </c>
      <c r="F141" s="183">
        <f t="shared" si="50"/>
        <v>220000</v>
      </c>
      <c r="G141" s="184">
        <f t="shared" si="48"/>
        <v>0.72944297082228116</v>
      </c>
    </row>
    <row r="142" spans="1:7" x14ac:dyDescent="0.25">
      <c r="A142" s="85"/>
      <c r="B142" s="187" t="s">
        <v>96</v>
      </c>
      <c r="C142" s="187" t="s">
        <v>25</v>
      </c>
      <c r="D142" s="185">
        <v>221230</v>
      </c>
      <c r="E142" s="185">
        <f>F142-D142</f>
        <v>-51230</v>
      </c>
      <c r="F142" s="185">
        <v>170000</v>
      </c>
      <c r="G142" s="186">
        <f t="shared" si="48"/>
        <v>0.76843104461420242</v>
      </c>
    </row>
    <row r="143" spans="1:7" x14ac:dyDescent="0.25">
      <c r="A143" s="85"/>
      <c r="B143" s="188">
        <v>32</v>
      </c>
      <c r="C143" s="187" t="s">
        <v>35</v>
      </c>
      <c r="D143" s="185">
        <v>80370</v>
      </c>
      <c r="E143" s="185">
        <f>F143-D143</f>
        <v>-30370</v>
      </c>
      <c r="F143" s="185">
        <v>50000</v>
      </c>
      <c r="G143" s="186">
        <f t="shared" si="48"/>
        <v>0.62212268259300729</v>
      </c>
    </row>
    <row r="144" spans="1:7" x14ac:dyDescent="0.25">
      <c r="A144" s="85"/>
      <c r="B144" s="226" t="s">
        <v>120</v>
      </c>
      <c r="C144" s="226"/>
      <c r="D144" s="181">
        <f t="shared" ref="D144:F144" si="51">D145</f>
        <v>50510</v>
      </c>
      <c r="E144" s="181">
        <f t="shared" si="51"/>
        <v>-10510</v>
      </c>
      <c r="F144" s="181">
        <f t="shared" si="51"/>
        <v>40000</v>
      </c>
      <c r="G144" s="182">
        <f t="shared" si="48"/>
        <v>0.79192239160562261</v>
      </c>
    </row>
    <row r="145" spans="1:7" x14ac:dyDescent="0.25">
      <c r="A145" s="85" t="s">
        <v>155</v>
      </c>
      <c r="B145" s="227" t="s">
        <v>119</v>
      </c>
      <c r="C145" s="227"/>
      <c r="D145" s="183">
        <f t="shared" ref="D145:F145" si="52">D146+D147</f>
        <v>50510</v>
      </c>
      <c r="E145" s="183">
        <f t="shared" si="52"/>
        <v>-10510</v>
      </c>
      <c r="F145" s="183">
        <f t="shared" si="52"/>
        <v>40000</v>
      </c>
      <c r="G145" s="184">
        <f t="shared" si="48"/>
        <v>0.79192239160562261</v>
      </c>
    </row>
    <row r="146" spans="1:7" x14ac:dyDescent="0.25">
      <c r="A146" s="85"/>
      <c r="B146" s="187" t="s">
        <v>96</v>
      </c>
      <c r="C146" s="187" t="s">
        <v>25</v>
      </c>
      <c r="D146" s="185">
        <v>47990</v>
      </c>
      <c r="E146" s="185">
        <f>F146-D146</f>
        <v>-11490</v>
      </c>
      <c r="F146" s="185">
        <v>36500</v>
      </c>
      <c r="G146" s="186">
        <f t="shared" si="48"/>
        <v>0.76057511981662851</v>
      </c>
    </row>
    <row r="147" spans="1:7" x14ac:dyDescent="0.25">
      <c r="A147" s="85"/>
      <c r="B147" s="188">
        <v>32</v>
      </c>
      <c r="C147" s="187" t="s">
        <v>35</v>
      </c>
      <c r="D147" s="185">
        <v>2520</v>
      </c>
      <c r="E147" s="185">
        <f>F147-D147</f>
        <v>980</v>
      </c>
      <c r="F147" s="185">
        <v>3500</v>
      </c>
      <c r="G147" s="186">
        <f t="shared" si="48"/>
        <v>1.3888888888888888</v>
      </c>
    </row>
    <row r="148" spans="1:7" x14ac:dyDescent="0.25">
      <c r="A148" s="189"/>
      <c r="B148" s="190"/>
      <c r="C148" s="191"/>
      <c r="D148" s="192"/>
      <c r="E148" s="192"/>
      <c r="F148" s="193"/>
      <c r="G148" s="194"/>
    </row>
    <row r="149" spans="1:7" x14ac:dyDescent="0.25">
      <c r="A149" s="189"/>
      <c r="B149" s="190"/>
      <c r="C149" s="191"/>
      <c r="D149" s="192"/>
      <c r="E149" s="192"/>
      <c r="F149" s="225" t="s">
        <v>122</v>
      </c>
      <c r="G149" s="225"/>
    </row>
    <row r="150" spans="1:7" x14ac:dyDescent="0.25">
      <c r="A150" s="189"/>
      <c r="B150" s="190"/>
      <c r="C150" s="191"/>
      <c r="D150" s="192"/>
      <c r="E150" s="192"/>
      <c r="F150" s="195" t="s">
        <v>123</v>
      </c>
      <c r="G150" s="196"/>
    </row>
  </sheetData>
  <sheetProtection algorithmName="SHA-512" hashValue="/rTJZdpywEYC9pe4pEEzjWlYThCHE6Lfp+oYAWPK8bQHxxXA/Xp4NMMbjYVlKxVztRTLI86kccotLCk4RSiWnQ==" saltValue="QUWrcVRkFMboBzznwt/4xQ==" spinCount="100000" sheet="1" objects="1" scenarios="1"/>
  <mergeCells count="66">
    <mergeCell ref="B21:C21"/>
    <mergeCell ref="B11:F11"/>
    <mergeCell ref="B12:F12"/>
    <mergeCell ref="B13:F13"/>
    <mergeCell ref="B14:F14"/>
    <mergeCell ref="B15:C16"/>
    <mergeCell ref="D15:D16"/>
    <mergeCell ref="E15:E16"/>
    <mergeCell ref="F15:F16"/>
    <mergeCell ref="G15:G16"/>
    <mergeCell ref="B17:C17"/>
    <mergeCell ref="B18:C18"/>
    <mergeCell ref="B19:C19"/>
    <mergeCell ref="B20:C20"/>
    <mergeCell ref="B48:C48"/>
    <mergeCell ref="B22:C22"/>
    <mergeCell ref="B24:C24"/>
    <mergeCell ref="B26:C26"/>
    <mergeCell ref="B28:C28"/>
    <mergeCell ref="B30:C30"/>
    <mergeCell ref="B32:C32"/>
    <mergeCell ref="B37:C37"/>
    <mergeCell ref="B39:C39"/>
    <mergeCell ref="B41:C41"/>
    <mergeCell ref="B43:C43"/>
    <mergeCell ref="B45:C45"/>
    <mergeCell ref="B53:C53"/>
    <mergeCell ref="B56:C56"/>
    <mergeCell ref="B58:C58"/>
    <mergeCell ref="B50:C50"/>
    <mergeCell ref="B51:C51"/>
    <mergeCell ref="B52:C52"/>
    <mergeCell ref="B75:C75"/>
    <mergeCell ref="B77:C77"/>
    <mergeCell ref="B78:C78"/>
    <mergeCell ref="B63:C63"/>
    <mergeCell ref="B67:C67"/>
    <mergeCell ref="B71:C71"/>
    <mergeCell ref="B89:C89"/>
    <mergeCell ref="B94:C94"/>
    <mergeCell ref="B80:C80"/>
    <mergeCell ref="B82:C82"/>
    <mergeCell ref="B85:C85"/>
    <mergeCell ref="B104:C104"/>
    <mergeCell ref="B107:C107"/>
    <mergeCell ref="B97:C97"/>
    <mergeCell ref="B100:C100"/>
    <mergeCell ref="B101:C101"/>
    <mergeCell ref="B116:C116"/>
    <mergeCell ref="B117:C117"/>
    <mergeCell ref="B120:C120"/>
    <mergeCell ref="B110:C110"/>
    <mergeCell ref="B112:C112"/>
    <mergeCell ref="B113:C113"/>
    <mergeCell ref="B130:C130"/>
    <mergeCell ref="B133:C133"/>
    <mergeCell ref="B134:C134"/>
    <mergeCell ref="B123:C123"/>
    <mergeCell ref="B124:C124"/>
    <mergeCell ref="B127:C127"/>
    <mergeCell ref="F149:G149"/>
    <mergeCell ref="B144:C144"/>
    <mergeCell ref="B145:C145"/>
    <mergeCell ref="B138:C138"/>
    <mergeCell ref="B140:C140"/>
    <mergeCell ref="B141:C1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2023-12-21T09:48:32Z</cp:lastPrinted>
  <dcterms:created xsi:type="dcterms:W3CDTF">2022-08-12T12:51:27Z</dcterms:created>
  <dcterms:modified xsi:type="dcterms:W3CDTF">2023-12-29T15:01:20Z</dcterms:modified>
</cp:coreProperties>
</file>