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sa dokumenti\downloads\"/>
    </mc:Choice>
  </mc:AlternateContent>
  <bookViews>
    <workbookView xWindow="-120" yWindow="-120" windowWidth="29040" windowHeight="15840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7" l="1"/>
  <c r="G28" i="7"/>
  <c r="H27" i="7"/>
  <c r="G26" i="7"/>
  <c r="H25" i="7"/>
  <c r="G24" i="7"/>
  <c r="I181" i="7" l="1"/>
  <c r="I182" i="7"/>
  <c r="I175" i="7"/>
  <c r="I176" i="7"/>
  <c r="I159" i="7"/>
  <c r="I160" i="7"/>
  <c r="I162" i="7"/>
  <c r="I163" i="7"/>
  <c r="I164" i="7"/>
  <c r="I165" i="7"/>
  <c r="I166" i="7"/>
  <c r="I170" i="7"/>
  <c r="I143" i="7"/>
  <c r="I144" i="7"/>
  <c r="I148" i="7"/>
  <c r="I149" i="7"/>
  <c r="I132" i="7"/>
  <c r="I138" i="7"/>
  <c r="I110" i="7"/>
  <c r="I111" i="7"/>
  <c r="I112" i="7"/>
  <c r="I113" i="7"/>
  <c r="I114" i="7"/>
  <c r="I115" i="7"/>
  <c r="I116" i="7"/>
  <c r="I120" i="7"/>
  <c r="I121" i="7"/>
  <c r="I99" i="7"/>
  <c r="I100" i="7"/>
  <c r="I82" i="7"/>
  <c r="I83" i="7"/>
  <c r="I84" i="7"/>
  <c r="I85" i="7"/>
  <c r="I86" i="7"/>
  <c r="I87" i="7"/>
  <c r="I88" i="7"/>
  <c r="I92" i="7"/>
  <c r="I93" i="7"/>
  <c r="I75" i="7"/>
  <c r="I68" i="7"/>
  <c r="I69" i="7"/>
  <c r="I70" i="7"/>
  <c r="I62" i="7"/>
  <c r="I12" i="7"/>
  <c r="G181" i="7"/>
  <c r="G182" i="7"/>
  <c r="G175" i="7"/>
  <c r="G176" i="7"/>
  <c r="G170" i="7"/>
  <c r="G159" i="7"/>
  <c r="G160" i="7"/>
  <c r="G161" i="7"/>
  <c r="G162" i="7"/>
  <c r="G163" i="7"/>
  <c r="G164" i="7"/>
  <c r="G165" i="7"/>
  <c r="G166" i="7"/>
  <c r="G148" i="7"/>
  <c r="G149" i="7"/>
  <c r="G143" i="7"/>
  <c r="G144" i="7"/>
  <c r="G137" i="7"/>
  <c r="G138" i="7"/>
  <c r="G132" i="7"/>
  <c r="G133" i="7"/>
  <c r="G120" i="7"/>
  <c r="G121" i="7"/>
  <c r="G110" i="7"/>
  <c r="G111" i="7"/>
  <c r="G99" i="7"/>
  <c r="G100" i="7"/>
  <c r="G95" i="7"/>
  <c r="G92" i="7"/>
  <c r="G93" i="7"/>
  <c r="G82" i="7"/>
  <c r="G75" i="7"/>
  <c r="G68" i="7"/>
  <c r="G69" i="7"/>
  <c r="G70" i="7"/>
  <c r="G62" i="7"/>
  <c r="G64" i="7"/>
  <c r="G54" i="7"/>
  <c r="G31" i="7"/>
  <c r="G30" i="7"/>
  <c r="G20" i="7"/>
  <c r="G12" i="7"/>
  <c r="M22" i="1"/>
  <c r="M21" i="1"/>
  <c r="M19" i="1"/>
  <c r="M18" i="1"/>
  <c r="K22" i="1"/>
  <c r="K21" i="1"/>
  <c r="K19" i="1"/>
  <c r="K18" i="1"/>
  <c r="J58" i="3"/>
  <c r="J59" i="3"/>
  <c r="J60" i="3"/>
  <c r="J61" i="3"/>
  <c r="J62" i="3"/>
  <c r="J63" i="3"/>
  <c r="J64" i="3"/>
  <c r="J65" i="3"/>
  <c r="J57" i="3"/>
  <c r="J56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38" i="3"/>
  <c r="J37" i="3"/>
  <c r="J36" i="3"/>
  <c r="J31" i="3"/>
  <c r="J30" i="3"/>
  <c r="J29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12" i="3"/>
  <c r="J11" i="3"/>
  <c r="H58" i="3"/>
  <c r="H59" i="3"/>
  <c r="H60" i="3"/>
  <c r="H61" i="3"/>
  <c r="H62" i="3"/>
  <c r="H63" i="3"/>
  <c r="H64" i="3"/>
  <c r="H65" i="3"/>
  <c r="H57" i="3"/>
  <c r="H56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31" i="3"/>
  <c r="H13" i="3"/>
  <c r="H14" i="3"/>
  <c r="H16" i="3"/>
  <c r="H18" i="3"/>
  <c r="H20" i="3"/>
  <c r="H22" i="3"/>
  <c r="H23" i="3"/>
  <c r="H24" i="3"/>
  <c r="H25" i="3"/>
  <c r="H26" i="3"/>
  <c r="H28" i="3"/>
  <c r="I60" i="3"/>
  <c r="G43" i="3"/>
  <c r="F43" i="3" s="1"/>
  <c r="M43" i="3" s="1"/>
  <c r="N43" i="3" s="1"/>
  <c r="I38" i="3"/>
  <c r="I57" i="3"/>
  <c r="I53" i="3"/>
  <c r="I44" i="3"/>
  <c r="I30" i="3"/>
  <c r="I29" i="3" s="1"/>
  <c r="I27" i="3"/>
  <c r="I21" i="3"/>
  <c r="I19" i="3"/>
  <c r="I17" i="3"/>
  <c r="I15" i="3"/>
  <c r="I12" i="3"/>
  <c r="H180" i="7"/>
  <c r="H174" i="7"/>
  <c r="H147" i="7"/>
  <c r="H142" i="7"/>
  <c r="H131" i="7"/>
  <c r="H119" i="7"/>
  <c r="H109" i="7"/>
  <c r="H98" i="7"/>
  <c r="H67" i="7"/>
  <c r="H66" i="7" s="1"/>
  <c r="H65" i="7" s="1"/>
  <c r="H11" i="7"/>
  <c r="H22" i="7"/>
  <c r="H23" i="7"/>
  <c r="I23" i="7" s="1"/>
  <c r="H21" i="7"/>
  <c r="H34" i="7"/>
  <c r="H33" i="7"/>
  <c r="I33" i="7" s="1"/>
  <c r="H24" i="7" l="1"/>
  <c r="H28" i="7"/>
  <c r="H32" i="7"/>
  <c r="G34" i="7"/>
  <c r="I34" i="7"/>
  <c r="I22" i="7"/>
  <c r="G22" i="7"/>
  <c r="H19" i="7"/>
  <c r="I21" i="7"/>
  <c r="G21" i="7"/>
  <c r="I29" i="7"/>
  <c r="I25" i="7"/>
  <c r="G23" i="7"/>
  <c r="G33" i="7"/>
  <c r="I56" i="3"/>
  <c r="I37" i="3"/>
  <c r="I11" i="3"/>
  <c r="H63" i="7"/>
  <c r="H61" i="7" l="1"/>
  <c r="I63" i="7"/>
  <c r="G63" i="7"/>
  <c r="I10" i="3"/>
  <c r="I36" i="3"/>
  <c r="H51" i="7"/>
  <c r="H52" i="7"/>
  <c r="H53" i="7"/>
  <c r="H45" i="7"/>
  <c r="H44" i="7"/>
  <c r="H94" i="7"/>
  <c r="H97" i="7"/>
  <c r="H81" i="7"/>
  <c r="H74" i="7"/>
  <c r="G81" i="7" l="1"/>
  <c r="I81" i="7"/>
  <c r="H96" i="7"/>
  <c r="I53" i="7"/>
  <c r="G53" i="7"/>
  <c r="H91" i="7"/>
  <c r="I94" i="7"/>
  <c r="G94" i="7"/>
  <c r="I52" i="7"/>
  <c r="G52" i="7"/>
  <c r="H73" i="7"/>
  <c r="I44" i="7"/>
  <c r="G44" i="7"/>
  <c r="I51" i="7"/>
  <c r="G51" i="7"/>
  <c r="I45" i="7"/>
  <c r="G45" i="7"/>
  <c r="H60" i="7"/>
  <c r="H43" i="7"/>
  <c r="H42" i="7" s="1"/>
  <c r="H50" i="7"/>
  <c r="H80" i="7"/>
  <c r="H169" i="7"/>
  <c r="H59" i="7" l="1"/>
  <c r="H90" i="7"/>
  <c r="H79" i="7"/>
  <c r="H49" i="7"/>
  <c r="H41" i="7"/>
  <c r="H168" i="7"/>
  <c r="H72" i="7"/>
  <c r="H158" i="7"/>
  <c r="H179" i="7"/>
  <c r="H173" i="7"/>
  <c r="F180" i="7"/>
  <c r="F174" i="7"/>
  <c r="F172" i="7"/>
  <c r="H146" i="7"/>
  <c r="H141" i="7"/>
  <c r="H150" i="7"/>
  <c r="I154" i="7"/>
  <c r="E154" i="7"/>
  <c r="I153" i="7"/>
  <c r="E153" i="7"/>
  <c r="F152" i="7"/>
  <c r="E152" i="7" s="1"/>
  <c r="F150" i="7"/>
  <c r="I150" i="7" s="1"/>
  <c r="H136" i="7"/>
  <c r="H130" i="7"/>
  <c r="H127" i="7"/>
  <c r="H126" i="7"/>
  <c r="H118" i="7"/>
  <c r="H108" i="7"/>
  <c r="H106" i="7"/>
  <c r="H105" i="7"/>
  <c r="I174" i="7" l="1"/>
  <c r="G174" i="7"/>
  <c r="G127" i="7"/>
  <c r="I127" i="7"/>
  <c r="H48" i="7"/>
  <c r="H40" i="7" s="1"/>
  <c r="H157" i="7"/>
  <c r="H78" i="7"/>
  <c r="H135" i="7"/>
  <c r="H140" i="7"/>
  <c r="G180" i="7"/>
  <c r="I180" i="7"/>
  <c r="H167" i="7"/>
  <c r="H89" i="7"/>
  <c r="G106" i="7"/>
  <c r="I106" i="7"/>
  <c r="H178" i="7"/>
  <c r="H107" i="7"/>
  <c r="H129" i="7"/>
  <c r="H117" i="7"/>
  <c r="H104" i="7"/>
  <c r="I105" i="7"/>
  <c r="G105" i="7"/>
  <c r="I126" i="7"/>
  <c r="G126" i="7"/>
  <c r="H145" i="7"/>
  <c r="H172" i="7"/>
  <c r="H125" i="7"/>
  <c r="I152" i="7"/>
  <c r="F151" i="7"/>
  <c r="E151" i="7" s="1"/>
  <c r="H139" i="7" l="1"/>
  <c r="H71" i="7"/>
  <c r="H177" i="7"/>
  <c r="H134" i="7"/>
  <c r="H124" i="7"/>
  <c r="H171" i="7"/>
  <c r="I172" i="7"/>
  <c r="G172" i="7"/>
  <c r="H103" i="7"/>
  <c r="H14" i="7"/>
  <c r="H16" i="7"/>
  <c r="H156" i="7"/>
  <c r="I151" i="7"/>
  <c r="H155" i="7" l="1"/>
  <c r="H123" i="7"/>
  <c r="H102" i="7"/>
  <c r="H18" i="7"/>
  <c r="H128" i="7"/>
  <c r="H15" i="7"/>
  <c r="I16" i="7"/>
  <c r="G16" i="7"/>
  <c r="H13" i="7"/>
  <c r="I14" i="7"/>
  <c r="G14" i="7"/>
  <c r="H26" i="7"/>
  <c r="I27" i="7"/>
  <c r="F169" i="7"/>
  <c r="E180" i="7"/>
  <c r="F173" i="7"/>
  <c r="F158" i="7"/>
  <c r="F147" i="7"/>
  <c r="F142" i="7"/>
  <c r="F136" i="7"/>
  <c r="F131" i="7"/>
  <c r="F119" i="7"/>
  <c r="F109" i="7"/>
  <c r="F104" i="7"/>
  <c r="F98" i="7"/>
  <c r="F91" i="7"/>
  <c r="F80" i="7"/>
  <c r="F74" i="7"/>
  <c r="F67" i="7"/>
  <c r="F61" i="7"/>
  <c r="F50" i="7"/>
  <c r="F43" i="7"/>
  <c r="F125" i="7"/>
  <c r="F178" i="7"/>
  <c r="E182" i="7"/>
  <c r="E172" i="7"/>
  <c r="E171" i="7" s="1"/>
  <c r="E176" i="7"/>
  <c r="E181" i="7"/>
  <c r="E175" i="7"/>
  <c r="F167" i="7"/>
  <c r="E170" i="7"/>
  <c r="F156" i="7"/>
  <c r="G156" i="7" s="1"/>
  <c r="E160" i="7"/>
  <c r="E161" i="7"/>
  <c r="E159" i="7"/>
  <c r="F145" i="7"/>
  <c r="E149" i="7"/>
  <c r="E148" i="7"/>
  <c r="F140" i="7"/>
  <c r="E144" i="7"/>
  <c r="E143" i="7"/>
  <c r="E138" i="7"/>
  <c r="E137" i="7"/>
  <c r="F134" i="7"/>
  <c r="E134" i="7" s="1"/>
  <c r="F129" i="7"/>
  <c r="E133" i="7"/>
  <c r="E132" i="7"/>
  <c r="F123" i="7"/>
  <c r="F122" i="7" s="1"/>
  <c r="E127" i="7"/>
  <c r="E126" i="7"/>
  <c r="F117" i="7"/>
  <c r="E121" i="7"/>
  <c r="E120" i="7"/>
  <c r="F107" i="7"/>
  <c r="E111" i="7"/>
  <c r="E110" i="7"/>
  <c r="F102" i="7"/>
  <c r="E102" i="7" s="1"/>
  <c r="E106" i="7"/>
  <c r="E105" i="7"/>
  <c r="F96" i="7"/>
  <c r="E100" i="7"/>
  <c r="E99" i="7"/>
  <c r="F89" i="7"/>
  <c r="E93" i="7"/>
  <c r="E94" i="7"/>
  <c r="E95" i="7"/>
  <c r="E92" i="7"/>
  <c r="E84" i="7"/>
  <c r="E85" i="7"/>
  <c r="E86" i="7"/>
  <c r="E87" i="7"/>
  <c r="E88" i="7"/>
  <c r="E83" i="7"/>
  <c r="E82" i="7"/>
  <c r="E81" i="7"/>
  <c r="F78" i="7"/>
  <c r="F76" i="7"/>
  <c r="E76" i="7"/>
  <c r="F72" i="7"/>
  <c r="E75" i="7"/>
  <c r="F65" i="7"/>
  <c r="E69" i="7"/>
  <c r="E70" i="7"/>
  <c r="E68" i="7"/>
  <c r="F59" i="7"/>
  <c r="E57" i="7"/>
  <c r="E58" i="7"/>
  <c r="E56" i="7"/>
  <c r="E55" i="7"/>
  <c r="E63" i="7"/>
  <c r="E64" i="7"/>
  <c r="E62" i="7"/>
  <c r="F48" i="7"/>
  <c r="E52" i="7"/>
  <c r="E53" i="7"/>
  <c r="E54" i="7"/>
  <c r="E51" i="7"/>
  <c r="F41" i="7"/>
  <c r="E45" i="7"/>
  <c r="E44" i="7"/>
  <c r="F32" i="7"/>
  <c r="E34" i="7"/>
  <c r="E33" i="7"/>
  <c r="E30" i="7"/>
  <c r="F28" i="7"/>
  <c r="E29" i="7"/>
  <c r="F26" i="7"/>
  <c r="E26" i="7" s="1"/>
  <c r="E27" i="7"/>
  <c r="F24" i="7"/>
  <c r="E25" i="7"/>
  <c r="F19" i="7"/>
  <c r="E21" i="7"/>
  <c r="E22" i="7"/>
  <c r="E23" i="7"/>
  <c r="E20" i="7"/>
  <c r="E18" i="7"/>
  <c r="E17" i="7" s="1"/>
  <c r="D17" i="7"/>
  <c r="F17" i="7"/>
  <c r="G11" i="5"/>
  <c r="G12" i="5"/>
  <c r="E12" i="5"/>
  <c r="E11" i="5" s="1"/>
  <c r="E10" i="5" s="1"/>
  <c r="F10" i="5"/>
  <c r="G10" i="5" s="1"/>
  <c r="F11" i="5"/>
  <c r="M32" i="3"/>
  <c r="N32" i="3" s="1"/>
  <c r="M33" i="3"/>
  <c r="N33" i="3" s="1"/>
  <c r="M34" i="3"/>
  <c r="N34" i="3" s="1"/>
  <c r="M35" i="3"/>
  <c r="N35" i="3" s="1"/>
  <c r="F62" i="3"/>
  <c r="M62" i="3" s="1"/>
  <c r="N62" i="3" s="1"/>
  <c r="F63" i="3"/>
  <c r="M63" i="3" s="1"/>
  <c r="N63" i="3" s="1"/>
  <c r="F64" i="3"/>
  <c r="M64" i="3" s="1"/>
  <c r="N64" i="3" s="1"/>
  <c r="F65" i="3"/>
  <c r="M65" i="3" s="1"/>
  <c r="N65" i="3" s="1"/>
  <c r="F61" i="3"/>
  <c r="M61" i="3" s="1"/>
  <c r="N61" i="3" s="1"/>
  <c r="F59" i="3"/>
  <c r="M59" i="3" s="1"/>
  <c r="N59" i="3" s="1"/>
  <c r="F58" i="3"/>
  <c r="M58" i="3" s="1"/>
  <c r="N58" i="3" s="1"/>
  <c r="F55" i="3"/>
  <c r="M55" i="3" s="1"/>
  <c r="N55" i="3" s="1"/>
  <c r="F54" i="3"/>
  <c r="M54" i="3" s="1"/>
  <c r="N54" i="3" s="1"/>
  <c r="F47" i="3"/>
  <c r="M47" i="3" s="1"/>
  <c r="N47" i="3" s="1"/>
  <c r="F48" i="3"/>
  <c r="M48" i="3" s="1"/>
  <c r="N48" i="3" s="1"/>
  <c r="F52" i="3"/>
  <c r="M52" i="3" s="1"/>
  <c r="N52" i="3" s="1"/>
  <c r="G57" i="3"/>
  <c r="G60" i="3"/>
  <c r="G51" i="3"/>
  <c r="G50" i="3"/>
  <c r="G49" i="3"/>
  <c r="G46" i="3"/>
  <c r="G45" i="3"/>
  <c r="G42" i="3"/>
  <c r="G41" i="3"/>
  <c r="G40" i="3"/>
  <c r="G39" i="3"/>
  <c r="F31" i="3"/>
  <c r="M31" i="3" s="1"/>
  <c r="N31" i="3" s="1"/>
  <c r="F28" i="3"/>
  <c r="M28" i="3" s="1"/>
  <c r="N28" i="3" s="1"/>
  <c r="F23" i="3"/>
  <c r="M23" i="3" s="1"/>
  <c r="N23" i="3" s="1"/>
  <c r="F24" i="3"/>
  <c r="M24" i="3" s="1"/>
  <c r="N24" i="3" s="1"/>
  <c r="F25" i="3"/>
  <c r="M25" i="3" s="1"/>
  <c r="N25" i="3" s="1"/>
  <c r="F26" i="3"/>
  <c r="M26" i="3" s="1"/>
  <c r="N26" i="3" s="1"/>
  <c r="F22" i="3"/>
  <c r="F20" i="3"/>
  <c r="M20" i="3" s="1"/>
  <c r="N20" i="3" s="1"/>
  <c r="F18" i="3"/>
  <c r="M18" i="3" s="1"/>
  <c r="N18" i="3" s="1"/>
  <c r="F16" i="3"/>
  <c r="M16" i="3" s="1"/>
  <c r="N16" i="3" s="1"/>
  <c r="F14" i="3"/>
  <c r="M14" i="3" s="1"/>
  <c r="N14" i="3" s="1"/>
  <c r="F13" i="3"/>
  <c r="M13" i="3" s="1"/>
  <c r="N13" i="3" s="1"/>
  <c r="G21" i="3"/>
  <c r="H21" i="3" s="1"/>
  <c r="I22" i="1"/>
  <c r="I21" i="1"/>
  <c r="I19" i="1"/>
  <c r="I18" i="1"/>
  <c r="F15" i="7"/>
  <c r="D16" i="7"/>
  <c r="D15" i="7" s="1"/>
  <c r="D14" i="7"/>
  <c r="D13" i="7" s="1"/>
  <c r="D12" i="7"/>
  <c r="E12" i="7" s="1"/>
  <c r="E60" i="3"/>
  <c r="E21" i="3"/>
  <c r="G134" i="7" l="1"/>
  <c r="E107" i="7"/>
  <c r="I107" i="7"/>
  <c r="G107" i="7"/>
  <c r="E43" i="7"/>
  <c r="I43" i="7"/>
  <c r="G43" i="7"/>
  <c r="E136" i="7"/>
  <c r="G136" i="7"/>
  <c r="I136" i="7"/>
  <c r="E24" i="7"/>
  <c r="I24" i="7"/>
  <c r="E28" i="7"/>
  <c r="I28" i="7"/>
  <c r="E32" i="7"/>
  <c r="I32" i="7"/>
  <c r="G32" i="7"/>
  <c r="E48" i="7"/>
  <c r="I48" i="7"/>
  <c r="G48" i="7"/>
  <c r="E59" i="7"/>
  <c r="I59" i="7"/>
  <c r="G59" i="7"/>
  <c r="I65" i="7"/>
  <c r="G65" i="7"/>
  <c r="G129" i="7"/>
  <c r="I129" i="7"/>
  <c r="I50" i="7"/>
  <c r="G50" i="7"/>
  <c r="I80" i="7"/>
  <c r="G80" i="7"/>
  <c r="E109" i="7"/>
  <c r="I109" i="7"/>
  <c r="G109" i="7"/>
  <c r="G142" i="7"/>
  <c r="I142" i="7"/>
  <c r="I134" i="7"/>
  <c r="H101" i="7"/>
  <c r="I102" i="7"/>
  <c r="G102" i="7"/>
  <c r="I156" i="7"/>
  <c r="G74" i="7"/>
  <c r="I74" i="7"/>
  <c r="E173" i="7"/>
  <c r="G173" i="7"/>
  <c r="I173" i="7"/>
  <c r="H122" i="7"/>
  <c r="I123" i="7"/>
  <c r="G123" i="7"/>
  <c r="E78" i="7"/>
  <c r="G78" i="7"/>
  <c r="I78" i="7"/>
  <c r="E96" i="7"/>
  <c r="I96" i="7"/>
  <c r="G96" i="7"/>
  <c r="E145" i="7"/>
  <c r="G145" i="7"/>
  <c r="I145" i="7"/>
  <c r="E178" i="7"/>
  <c r="E177" i="7" s="1"/>
  <c r="I178" i="7"/>
  <c r="G178" i="7"/>
  <c r="G61" i="7"/>
  <c r="I61" i="7"/>
  <c r="G91" i="7"/>
  <c r="I91" i="7"/>
  <c r="F118" i="7"/>
  <c r="E118" i="7" s="1"/>
  <c r="G119" i="7"/>
  <c r="I119" i="7"/>
  <c r="G147" i="7"/>
  <c r="I147" i="7"/>
  <c r="I169" i="7"/>
  <c r="G169" i="7"/>
  <c r="I15" i="7"/>
  <c r="G15" i="7"/>
  <c r="H17" i="7"/>
  <c r="H10" i="7" s="1"/>
  <c r="I18" i="7"/>
  <c r="G18" i="7"/>
  <c r="E41" i="7"/>
  <c r="I41" i="7"/>
  <c r="G41" i="7"/>
  <c r="E167" i="7"/>
  <c r="I167" i="7"/>
  <c r="G167" i="7"/>
  <c r="E104" i="7"/>
  <c r="G104" i="7"/>
  <c r="I104" i="7"/>
  <c r="I26" i="7"/>
  <c r="E19" i="7"/>
  <c r="I19" i="7"/>
  <c r="G19" i="7"/>
  <c r="E72" i="7"/>
  <c r="I72" i="7"/>
  <c r="G72" i="7"/>
  <c r="E89" i="7"/>
  <c r="I89" i="7"/>
  <c r="G89" i="7"/>
  <c r="E117" i="7"/>
  <c r="E101" i="7" s="1"/>
  <c r="G117" i="7"/>
  <c r="I117" i="7"/>
  <c r="E140" i="7"/>
  <c r="I140" i="7"/>
  <c r="G140" i="7"/>
  <c r="E125" i="7"/>
  <c r="G125" i="7"/>
  <c r="I125" i="7"/>
  <c r="E67" i="7"/>
  <c r="G67" i="7"/>
  <c r="I67" i="7"/>
  <c r="G98" i="7"/>
  <c r="I98" i="7"/>
  <c r="G131" i="7"/>
  <c r="I131" i="7"/>
  <c r="G158" i="7"/>
  <c r="I158" i="7"/>
  <c r="F53" i="3"/>
  <c r="F21" i="3"/>
  <c r="M21" i="3" s="1"/>
  <c r="N21" i="3" s="1"/>
  <c r="M22" i="3"/>
  <c r="N22" i="3" s="1"/>
  <c r="F51" i="3"/>
  <c r="M51" i="3" s="1"/>
  <c r="N51" i="3" s="1"/>
  <c r="G56" i="3"/>
  <c r="E98" i="7"/>
  <c r="F97" i="7"/>
  <c r="F124" i="7"/>
  <c r="E91" i="7"/>
  <c r="F177" i="7"/>
  <c r="F60" i="7"/>
  <c r="E158" i="7"/>
  <c r="F171" i="7"/>
  <c r="F66" i="7"/>
  <c r="F90" i="7"/>
  <c r="E119" i="7"/>
  <c r="E174" i="7"/>
  <c r="F79" i="7"/>
  <c r="F42" i="7"/>
  <c r="E50" i="7"/>
  <c r="E80" i="7"/>
  <c r="F103" i="7"/>
  <c r="F108" i="7"/>
  <c r="F130" i="7"/>
  <c r="F135" i="7"/>
  <c r="F141" i="7"/>
  <c r="F146" i="7"/>
  <c r="F157" i="7"/>
  <c r="F179" i="7"/>
  <c r="F168" i="7"/>
  <c r="F49" i="7"/>
  <c r="F73" i="7"/>
  <c r="E131" i="7"/>
  <c r="E142" i="7"/>
  <c r="E147" i="7"/>
  <c r="E169" i="7"/>
  <c r="F128" i="7"/>
  <c r="G128" i="7" s="1"/>
  <c r="E16" i="7"/>
  <c r="E15" i="7" s="1"/>
  <c r="E61" i="7"/>
  <c r="E74" i="7"/>
  <c r="F155" i="7"/>
  <c r="I155" i="7" s="1"/>
  <c r="E156" i="7"/>
  <c r="F139" i="7"/>
  <c r="E123" i="7"/>
  <c r="E129" i="7"/>
  <c r="F40" i="7"/>
  <c r="E65" i="7"/>
  <c r="F101" i="7"/>
  <c r="F71" i="7"/>
  <c r="E11" i="7"/>
  <c r="D11" i="7"/>
  <c r="D10" i="7" s="1"/>
  <c r="D9" i="7" s="1"/>
  <c r="D8" i="7" s="1"/>
  <c r="D7" i="7" s="1"/>
  <c r="E14" i="7"/>
  <c r="F11" i="7"/>
  <c r="F13" i="7"/>
  <c r="G13" i="7" s="1"/>
  <c r="G38" i="3"/>
  <c r="H38" i="3" s="1"/>
  <c r="G44" i="3"/>
  <c r="G53" i="3"/>
  <c r="E53" i="3"/>
  <c r="M53" i="3" s="1"/>
  <c r="F57" i="3"/>
  <c r="E57" i="3"/>
  <c r="F60" i="3"/>
  <c r="M60" i="3" s="1"/>
  <c r="N60" i="3" s="1"/>
  <c r="E46" i="3"/>
  <c r="E50" i="3"/>
  <c r="E45" i="3"/>
  <c r="E49" i="3"/>
  <c r="E42" i="3"/>
  <c r="E40" i="3"/>
  <c r="E39" i="3"/>
  <c r="E41" i="3"/>
  <c r="G12" i="3"/>
  <c r="H12" i="3" s="1"/>
  <c r="F12" i="3"/>
  <c r="E12" i="3"/>
  <c r="F15" i="3"/>
  <c r="G15" i="3"/>
  <c r="H15" i="3" s="1"/>
  <c r="E15" i="3"/>
  <c r="F30" i="3"/>
  <c r="F29" i="3" s="1"/>
  <c r="G30" i="3"/>
  <c r="H30" i="3" s="1"/>
  <c r="E30" i="3"/>
  <c r="F27" i="3"/>
  <c r="G27" i="3"/>
  <c r="H27" i="3" s="1"/>
  <c r="E27" i="3"/>
  <c r="G19" i="3"/>
  <c r="H19" i="3" s="1"/>
  <c r="F19" i="3"/>
  <c r="E19" i="3"/>
  <c r="F17" i="3"/>
  <c r="G17" i="3"/>
  <c r="H17" i="3" s="1"/>
  <c r="E17" i="3"/>
  <c r="J20" i="1"/>
  <c r="I20" i="1"/>
  <c r="J17" i="1"/>
  <c r="I17" i="1"/>
  <c r="H20" i="1"/>
  <c r="H17" i="1"/>
  <c r="E139" i="7" l="1"/>
  <c r="E71" i="7"/>
  <c r="I128" i="7"/>
  <c r="E40" i="7"/>
  <c r="I11" i="7"/>
  <c r="G11" i="7"/>
  <c r="I157" i="7"/>
  <c r="G157" i="7"/>
  <c r="G71" i="7"/>
  <c r="I71" i="7"/>
  <c r="G139" i="7"/>
  <c r="I139" i="7"/>
  <c r="E49" i="7"/>
  <c r="G49" i="7"/>
  <c r="I49" i="7"/>
  <c r="I146" i="7"/>
  <c r="G146" i="7"/>
  <c r="G108" i="7"/>
  <c r="I108" i="7"/>
  <c r="G42" i="7"/>
  <c r="I42" i="7"/>
  <c r="E124" i="7"/>
  <c r="I124" i="7"/>
  <c r="G124" i="7"/>
  <c r="G155" i="7"/>
  <c r="G17" i="7"/>
  <c r="I17" i="7"/>
  <c r="I13" i="7"/>
  <c r="G73" i="7"/>
  <c r="I73" i="7"/>
  <c r="I130" i="7"/>
  <c r="G130" i="7"/>
  <c r="I171" i="7"/>
  <c r="G171" i="7"/>
  <c r="G168" i="7"/>
  <c r="I168" i="7"/>
  <c r="G141" i="7"/>
  <c r="I141" i="7"/>
  <c r="I103" i="7"/>
  <c r="G103" i="7"/>
  <c r="I79" i="7"/>
  <c r="G79" i="7"/>
  <c r="E90" i="7"/>
  <c r="G90" i="7"/>
  <c r="I90" i="7"/>
  <c r="G60" i="7"/>
  <c r="I60" i="7"/>
  <c r="E97" i="7"/>
  <c r="G97" i="7"/>
  <c r="I97" i="7"/>
  <c r="I122" i="7"/>
  <c r="G122" i="7"/>
  <c r="I40" i="7"/>
  <c r="G40" i="7"/>
  <c r="H9" i="7"/>
  <c r="E179" i="7"/>
  <c r="G179" i="7"/>
  <c r="I179" i="7"/>
  <c r="E135" i="7"/>
  <c r="I135" i="7"/>
  <c r="G135" i="7"/>
  <c r="G66" i="7"/>
  <c r="I66" i="7"/>
  <c r="G177" i="7"/>
  <c r="I177" i="7"/>
  <c r="I118" i="7"/>
  <c r="G118" i="7"/>
  <c r="I101" i="7"/>
  <c r="G101" i="7"/>
  <c r="H39" i="7"/>
  <c r="K20" i="1"/>
  <c r="M20" i="1"/>
  <c r="M17" i="1"/>
  <c r="K17" i="1"/>
  <c r="E66" i="7"/>
  <c r="I23" i="1"/>
  <c r="F49" i="3"/>
  <c r="M17" i="3"/>
  <c r="M15" i="3"/>
  <c r="N15" i="3" s="1"/>
  <c r="F41" i="3"/>
  <c r="M41" i="3" s="1"/>
  <c r="N41" i="3" s="1"/>
  <c r="F45" i="3"/>
  <c r="M45" i="3" s="1"/>
  <c r="N45" i="3" s="1"/>
  <c r="G37" i="3"/>
  <c r="H37" i="3" s="1"/>
  <c r="F50" i="3"/>
  <c r="M50" i="3" s="1"/>
  <c r="N50" i="3" s="1"/>
  <c r="F40" i="3"/>
  <c r="M40" i="3" s="1"/>
  <c r="N40" i="3" s="1"/>
  <c r="N17" i="3"/>
  <c r="E29" i="3"/>
  <c r="M29" i="3" s="1"/>
  <c r="M30" i="3"/>
  <c r="N30" i="3" s="1"/>
  <c r="F42" i="3"/>
  <c r="M42" i="3" s="1"/>
  <c r="N42" i="3" s="1"/>
  <c r="M27" i="3"/>
  <c r="N27" i="3" s="1"/>
  <c r="G29" i="3"/>
  <c r="H29" i="3" s="1"/>
  <c r="M49" i="3"/>
  <c r="N49" i="3" s="1"/>
  <c r="F56" i="3"/>
  <c r="N53" i="3"/>
  <c r="F46" i="3"/>
  <c r="M46" i="3" s="1"/>
  <c r="N46" i="3" s="1"/>
  <c r="M19" i="3"/>
  <c r="N19" i="3" s="1"/>
  <c r="M12" i="3"/>
  <c r="N12" i="3" s="1"/>
  <c r="F39" i="3"/>
  <c r="M39" i="3" s="1"/>
  <c r="N39" i="3" s="1"/>
  <c r="E56" i="3"/>
  <c r="M57" i="3"/>
  <c r="N57" i="3" s="1"/>
  <c r="E79" i="7"/>
  <c r="J23" i="1"/>
  <c r="E60" i="7"/>
  <c r="I38" i="1"/>
  <c r="E157" i="7"/>
  <c r="E130" i="7"/>
  <c r="E73" i="7"/>
  <c r="E146" i="7"/>
  <c r="E108" i="7"/>
  <c r="E42" i="7"/>
  <c r="E168" i="7"/>
  <c r="E141" i="7"/>
  <c r="E103" i="7"/>
  <c r="F35" i="7"/>
  <c r="F10" i="7"/>
  <c r="G10" i="7" s="1"/>
  <c r="E155" i="7"/>
  <c r="E128" i="7"/>
  <c r="E122" i="7"/>
  <c r="E13" i="7"/>
  <c r="E10" i="7" s="1"/>
  <c r="E9" i="7" s="1"/>
  <c r="E38" i="3"/>
  <c r="E44" i="3"/>
  <c r="E11" i="3"/>
  <c r="F11" i="3"/>
  <c r="G11" i="3"/>
  <c r="H11" i="3" s="1"/>
  <c r="H38" i="7" l="1"/>
  <c r="I10" i="7"/>
  <c r="H8" i="7"/>
  <c r="K23" i="1"/>
  <c r="M23" i="1"/>
  <c r="F44" i="3"/>
  <c r="G10" i="3"/>
  <c r="N29" i="3"/>
  <c r="E10" i="3"/>
  <c r="M56" i="3"/>
  <c r="N56" i="3" s="1"/>
  <c r="F38" i="3"/>
  <c r="M38" i="3" s="1"/>
  <c r="N38" i="3" s="1"/>
  <c r="I37" i="1"/>
  <c r="J37" i="1" s="1"/>
  <c r="M37" i="1" s="1"/>
  <c r="J38" i="1"/>
  <c r="M38" i="1" s="1"/>
  <c r="E35" i="7"/>
  <c r="F36" i="7"/>
  <c r="F10" i="3"/>
  <c r="M10" i="3" s="1"/>
  <c r="M11" i="3"/>
  <c r="N11" i="3" s="1"/>
  <c r="E37" i="3"/>
  <c r="G36" i="3"/>
  <c r="H36" i="3" s="1"/>
  <c r="F9" i="7"/>
  <c r="G9" i="7" s="1"/>
  <c r="E8" i="7"/>
  <c r="I9" i="7" l="1"/>
  <c r="H7" i="7"/>
  <c r="H37" i="7"/>
  <c r="H10" i="3"/>
  <c r="J10" i="3"/>
  <c r="N10" i="3"/>
  <c r="F37" i="3"/>
  <c r="F36" i="3" s="1"/>
  <c r="E36" i="3"/>
  <c r="M44" i="3"/>
  <c r="N44" i="3" s="1"/>
  <c r="E36" i="7"/>
  <c r="F37" i="7"/>
  <c r="F8" i="7"/>
  <c r="G8" i="7" s="1"/>
  <c r="E7" i="7"/>
  <c r="I8" i="7" l="1"/>
  <c r="H36" i="7"/>
  <c r="I37" i="7"/>
  <c r="G37" i="7"/>
  <c r="M37" i="3"/>
  <c r="N37" i="3" s="1"/>
  <c r="M36" i="3"/>
  <c r="N36" i="3" s="1"/>
  <c r="E37" i="7"/>
  <c r="F38" i="7"/>
  <c r="F7" i="7"/>
  <c r="I7" i="7" s="1"/>
  <c r="G7" i="7" l="1"/>
  <c r="I36" i="7"/>
  <c r="G36" i="7"/>
  <c r="H35" i="7"/>
  <c r="G38" i="7"/>
  <c r="I38" i="7"/>
  <c r="E38" i="7"/>
  <c r="F39" i="7"/>
  <c r="I35" i="7" l="1"/>
  <c r="G35" i="7"/>
  <c r="I39" i="7"/>
  <c r="G39" i="7"/>
  <c r="E39" i="7"/>
</calcChain>
</file>

<file path=xl/sharedStrings.xml><?xml version="1.0" encoding="utf-8"?>
<sst xmlns="http://schemas.openxmlformats.org/spreadsheetml/2006/main" count="451" uniqueCount="144">
  <si>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</si>
  <si>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</si>
  <si>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</si>
  <si>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</si>
  <si>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</si>
  <si>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</si>
  <si>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</si>
  <si>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</si>
  <si>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</si>
  <si>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</si>
  <si>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</si>
  <si>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</si>
  <si>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</si>
  <si>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</si>
  <si>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</si>
  <si>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</si>
  <si>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</si>
  <si>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</si>
  <si>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</si>
  <si>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</si>
  <si>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</si>
  <si>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</si>
  <si>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</si>
  <si>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</si>
  <si>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</si>
  <si>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</si>
  <si>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</si>
  <si>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</si>
  <si>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</si>
  <si>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</si>
  <si>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</si>
  <si>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</si>
  <si>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</si>
  <si>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</si>
  <si>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</si>
  <si>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</si>
  <si>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</si>
  <si>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</si>
  <si>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</si>
  <si>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</si>
  <si>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</si>
  <si>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</si>
  <si>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</si>
  <si>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</si>
  <si>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</si>
  <si>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Plan za 2023.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</si>
  <si>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</si>
  <si>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</si>
  <si>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</si>
  <si>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</si>
  <si>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</si>
  <si>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</si>
  <si>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5.4.1.</t>
  </si>
  <si>
    <t>Prihodi o imovine</t>
  </si>
  <si>
    <t>7.2.1.</t>
  </si>
  <si>
    <t>4.8.1.</t>
  </si>
  <si>
    <t>Prihodi za posebne namjene</t>
  </si>
  <si>
    <t>072 Službe za vanjske pacijente</t>
  </si>
  <si>
    <t>07 Zdravstvo</t>
  </si>
  <si>
    <t>5.5.1.</t>
  </si>
  <si>
    <t>Pomoći EU za PK</t>
  </si>
  <si>
    <t>3.2.1.</t>
  </si>
  <si>
    <t>Prihodi od prodaje proizvoda i robe te pruženih usluga, prihodi od donacija te povrati po protestiranim jamstvima</t>
  </si>
  <si>
    <t>Prihodi od upravnih i administrativnih pristojbi, pristojbi po posebnim propisima i naknadama</t>
  </si>
  <si>
    <t>1.1.1.</t>
  </si>
  <si>
    <t>4.4.1.</t>
  </si>
  <si>
    <t>Prihodi za posebne namjene-Decentralizacija</t>
  </si>
  <si>
    <t>4.3.1.</t>
  </si>
  <si>
    <t>Kazne, upravne mjere i ostali prihodi</t>
  </si>
  <si>
    <t>UKUPNO PRIHODI</t>
  </si>
  <si>
    <t>Prihodi za posebne namjene-HZZO</t>
  </si>
  <si>
    <t>UKUPNO RASHODI</t>
  </si>
  <si>
    <t>Pomoći PK</t>
  </si>
  <si>
    <t>Financijski rashodi</t>
  </si>
  <si>
    <t>3/1</t>
  </si>
  <si>
    <t>UPRAVNO VIJEĆE</t>
  </si>
  <si>
    <t>Na temelju članka 23. Statuta Zavoda za hitnu medicinu Splitsko-dalmatinske županije Upravno vijeće Zavoda na svojoj</t>
  </si>
  <si>
    <t>POSEBNI DIO</t>
  </si>
  <si>
    <t>NAZIV</t>
  </si>
  <si>
    <t xml:space="preserve">UKUPNO PRIHODI / PRIMICI	</t>
  </si>
  <si>
    <t>Razdjel 003 UPRAVNI ODJEL ZA ZDRAVSTVO, SOCIJALNU SKRB I DEMOGRAFIJU</t>
  </si>
  <si>
    <t>Glava 00302 USTANOVE U ZDRAVSTVU</t>
  </si>
  <si>
    <t>37531 Zavod za hitnu medicinu Splitsko-dalmatinske županije</t>
  </si>
  <si>
    <t>Izvor 1.1.1 Opći prihodi i primici</t>
  </si>
  <si>
    <t>Izvor 4.4.1 Prihodi za posebne namjene-Decentralizacija</t>
  </si>
  <si>
    <t>Izvor 4.3.1 Prihodi za posebne namjene</t>
  </si>
  <si>
    <t>Izvor 3.2.1 Vlastiti prihodi PK</t>
  </si>
  <si>
    <t>63</t>
  </si>
  <si>
    <t>64</t>
  </si>
  <si>
    <t>Prihodi od imovine</t>
  </si>
  <si>
    <t>66</t>
  </si>
  <si>
    <t>Prihodi od prodaje proizvoda i robe te pruženih usluga, prihodi od donacija i povrati po protestira</t>
  </si>
  <si>
    <t>68</t>
  </si>
  <si>
    <t>Izvor 4.8.1 Prihodi za posebne namjene PK</t>
  </si>
  <si>
    <t>67</t>
  </si>
  <si>
    <t>Izvor 5.4.1 Pomoći PK</t>
  </si>
  <si>
    <t>Izvor 5.5.1      Pomoći EU za PK</t>
  </si>
  <si>
    <t>Izvor 6.2.1 Donacije PK</t>
  </si>
  <si>
    <t>Izvor 7.2.1 Prihodi od prodaje nefinancijske imovine PK</t>
  </si>
  <si>
    <t>65</t>
  </si>
  <si>
    <t>Prihodi od upravnih i administrativnih pristojbi, pristojbi po posebnim propisima i naknada</t>
  </si>
  <si>
    <t>72</t>
  </si>
  <si>
    <t xml:space="preserve">UKUPNO RASHODI / IZDACI	</t>
  </si>
  <si>
    <t>Program 3020 Zdravstvo</t>
  </si>
  <si>
    <t>Aktivnost A302001 Rashodi djelatnosti</t>
  </si>
  <si>
    <t>FUNKCIJSKA KLASIFIKACIJA 07 Zdravstvo</t>
  </si>
  <si>
    <t>FUNKCIJSKA KLASIFIKACIJA 072 Službe za vanjske pacijente</t>
  </si>
  <si>
    <t>31</t>
  </si>
  <si>
    <t>32</t>
  </si>
  <si>
    <t>Izvor 1.1.2 Opći prihodi i primici - prenesena sredstva</t>
  </si>
  <si>
    <t>34</t>
  </si>
  <si>
    <t>38</t>
  </si>
  <si>
    <t>Ostali rashodi</t>
  </si>
  <si>
    <t>Izvor 3.2.2 Vlastiti prihodi PK - prenesena sredstva</t>
  </si>
  <si>
    <t>Aktivnost A302002 Izgradnja i uređenje objekata te nabava i održavanje opreme</t>
  </si>
  <si>
    <t>42</t>
  </si>
  <si>
    <t>41</t>
  </si>
  <si>
    <t>45</t>
  </si>
  <si>
    <t>Rashodi za dodatna ulaganja na nefinancijskoj imovini</t>
  </si>
  <si>
    <t>Aktivnost A302007 Dodatni timovi HMP u turističkoj sezoni</t>
  </si>
  <si>
    <t>Izvor 5.1.1 Pomoći</t>
  </si>
  <si>
    <t>Aktivnost A302008 Dodatni timovi HMP prilikom zaštite od požara</t>
  </si>
  <si>
    <t>Kapitalni projekt K302001 Defibrilatori na javnim mjestima</t>
  </si>
  <si>
    <t>Tekući projekt T302001 ULJP - Specijalističko usavršavanje</t>
  </si>
  <si>
    <t>Tekući projekt T302003 COVID-19</t>
  </si>
  <si>
    <t>FUNKCIJSKA KLASIFIKACIJA 074 Službe javnog zdravstva</t>
  </si>
  <si>
    <t>Promjena</t>
  </si>
  <si>
    <t>Novi plan za 2023.g.</t>
  </si>
  <si>
    <t>4.3.2.</t>
  </si>
  <si>
    <t>Prihodi za posebne namjene-prenesena sredstva</t>
  </si>
  <si>
    <t>%</t>
  </si>
  <si>
    <t>Izvor 4.3.2 Prihodi za posebne namjene-prenesena sredstva</t>
  </si>
  <si>
    <t>Izvor 5.5.1 Pomoći EU za PK</t>
  </si>
  <si>
    <t>Tekući projekt T302013 - NPOO-Centralno financiranje specijalizacija doktora medicine</t>
  </si>
  <si>
    <t>Tekući projekt T302012 - NPOO-Specijelističko usavršavanje med.sestara i tehničara</t>
  </si>
  <si>
    <t>3 / 1</t>
  </si>
  <si>
    <t>Split, 28. kolovoza 2023.g.</t>
  </si>
  <si>
    <t>PRIJEDLOG REBALANSA FINANCIJSKOG PLANA ZAVODA ZA HITNU MEDICINU SPLITSKO-DALMATINSKE ŽUPANIJE 
ZA 2023. BROJ 2</t>
  </si>
  <si>
    <t>Predsjednica Upravnog vijeća:</t>
  </si>
  <si>
    <t>Anita Bikić, mag.med.techn.</t>
  </si>
  <si>
    <t>REBALANS FINANCIJSKOG PLANA ZAVODA ZA HITNU MEDICINU SPLITSKO-DALMATINSKE ŽUPANIJE 
ZA 2023. BROJ 2</t>
  </si>
  <si>
    <t>Klasa: 003-06/23-01/11</t>
  </si>
  <si>
    <t>Ur.broj: 2181-148-01-06-23-01</t>
  </si>
  <si>
    <t xml:space="preserve">6. izvanrednoj sjednici održanoj dana 28. kolovoza 2023. godine donijelo 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</si>
</sst>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\ [$€-1]"/>
    <numFmt numFmtId="165" formatCode="0.0"/>
    <numFmt numFmtId="166" formatCode="#,##0.00\ _k_n"/>
    <numFmt numFmtId="167" formatCode="[$-41A]General"/>
    <numFmt numFmtId="168" formatCode="0.0%"/>
    <numFmt numFmtId="169" formatCode="#,##0.00&quot;     &quot;"/>
    <numFmt numFmtId="170" formatCode="[$-41A]0.00%"/>
    <numFmt numFmtId="171" formatCode="_-* #,##0.00\ [$€-1]_-;\-* #,##0.00\ [$€-1]_-;_-* &quot;-&quot;??\ [$€-1]_-;_-@_-"/>
  </numFmts>
  <fonts count="3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7" fontId="12" fillId="0" borderId="0" applyBorder="0" applyProtection="0"/>
  </cellStyleXfs>
  <cellXfs count="220">
    <xf numFmtId="0" fontId="0" fillId="0" borderId="0" xfId="0"/>
    <xf numFmtId="0" fontId="1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2" fillId="0" borderId="2" xfId="0" quotePrefix="1" applyFont="1" applyBorder="1" applyAlignment="1">
      <alignment horizontal="left" wrapText="1"/>
    </xf>
    <xf numFmtId="0" fontId="2" fillId="0" borderId="2" xfId="0" quotePrefix="1" applyFont="1" applyBorder="1" applyAlignment="1">
      <alignment horizontal="center" wrapText="1"/>
    </xf>
    <xf numFmtId="0" fontId="2" fillId="0" borderId="2" xfId="0" quotePrefix="1" applyFont="1" applyBorder="1" applyAlignment="1">
      <alignment horizontal="left"/>
    </xf>
    <xf numFmtId="3" fontId="2" fillId="3" borderId="3" xfId="0" applyNumberFormat="1" applyFont="1" applyFill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4" borderId="1" xfId="0" quotePrefix="1" applyNumberFormat="1" applyFont="1" applyFill="1" applyBorder="1" applyAlignment="1">
      <alignment horizontal="right"/>
    </xf>
    <xf numFmtId="3" fontId="2" fillId="3" borderId="1" xfId="0" quotePrefix="1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164" fontId="2" fillId="3" borderId="3" xfId="0" applyNumberFormat="1" applyFont="1" applyFill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 wrapText="1"/>
    </xf>
    <xf numFmtId="164" fontId="2" fillId="3" borderId="3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3" fontId="8" fillId="2" borderId="4" xfId="0" applyNumberFormat="1" applyFont="1" applyFill="1" applyBorder="1" applyAlignment="1">
      <alignment horizontal="right"/>
    </xf>
    <xf numFmtId="3" fontId="8" fillId="2" borderId="3" xfId="0" applyNumberFormat="1" applyFont="1" applyFill="1" applyBorder="1" applyAlignment="1">
      <alignment horizontal="right"/>
    </xf>
    <xf numFmtId="164" fontId="8" fillId="2" borderId="3" xfId="0" applyNumberFormat="1" applyFont="1" applyFill="1" applyBorder="1" applyAlignment="1">
      <alignment horizontal="right"/>
    </xf>
    <xf numFmtId="165" fontId="2" fillId="3" borderId="3" xfId="0" applyNumberFormat="1" applyFont="1" applyFill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0" fontId="1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9" fillId="0" borderId="3" xfId="0" applyFont="1" applyBorder="1"/>
    <xf numFmtId="0" fontId="4" fillId="0" borderId="0" xfId="0" quotePrefix="1" applyFont="1" applyAlignment="1">
      <alignment horizontal="left" wrapText="1"/>
    </xf>
    <xf numFmtId="0" fontId="3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167" fontId="13" fillId="0" borderId="0" xfId="1" applyFont="1"/>
    <xf numFmtId="168" fontId="13" fillId="0" borderId="0" xfId="1" applyNumberFormat="1" applyFont="1"/>
    <xf numFmtId="169" fontId="13" fillId="0" borderId="0" xfId="1" applyNumberFormat="1" applyFont="1"/>
    <xf numFmtId="167" fontId="13" fillId="0" borderId="6" xfId="1" applyFont="1" applyBorder="1"/>
    <xf numFmtId="169" fontId="13" fillId="0" borderId="7" xfId="1" applyNumberFormat="1" applyFont="1" applyBorder="1"/>
    <xf numFmtId="170" fontId="13" fillId="0" borderId="0" xfId="1" applyNumberFormat="1" applyFont="1"/>
    <xf numFmtId="167" fontId="13" fillId="0" borderId="7" xfId="1" applyFont="1" applyBorder="1"/>
    <xf numFmtId="0" fontId="15" fillId="0" borderId="0" xfId="0" applyFont="1"/>
    <xf numFmtId="0" fontId="16" fillId="0" borderId="3" xfId="0" applyFont="1" applyBorder="1" applyAlignment="1">
      <alignment horizontal="center"/>
    </xf>
    <xf numFmtId="0" fontId="15" fillId="0" borderId="3" xfId="0" applyFont="1" applyBorder="1"/>
    <xf numFmtId="164" fontId="16" fillId="7" borderId="3" xfId="0" applyNumberFormat="1" applyFont="1" applyFill="1" applyBorder="1"/>
    <xf numFmtId="0" fontId="16" fillId="0" borderId="3" xfId="0" applyFont="1" applyBorder="1"/>
    <xf numFmtId="164" fontId="16" fillId="0" borderId="3" xfId="0" applyNumberFormat="1" applyFont="1" applyBorder="1"/>
    <xf numFmtId="164" fontId="15" fillId="6" borderId="3" xfId="0" applyNumberFormat="1" applyFont="1" applyFill="1" applyBorder="1"/>
    <xf numFmtId="164" fontId="15" fillId="0" borderId="3" xfId="0" applyNumberFormat="1" applyFont="1" applyBorder="1"/>
    <xf numFmtId="164" fontId="16" fillId="5" borderId="3" xfId="0" applyNumberFormat="1" applyFont="1" applyFill="1" applyBorder="1"/>
    <xf numFmtId="171" fontId="2" fillId="4" borderId="1" xfId="0" quotePrefix="1" applyNumberFormat="1" applyFont="1" applyFill="1" applyBorder="1" applyAlignment="1">
      <alignment horizontal="right"/>
    </xf>
    <xf numFmtId="171" fontId="2" fillId="4" borderId="3" xfId="0" applyNumberFormat="1" applyFont="1" applyFill="1" applyBorder="1" applyAlignment="1">
      <alignment horizontal="right" wrapText="1"/>
    </xf>
    <xf numFmtId="171" fontId="2" fillId="3" borderId="1" xfId="0" quotePrefix="1" applyNumberFormat="1" applyFont="1" applyFill="1" applyBorder="1" applyAlignment="1">
      <alignment horizontal="right"/>
    </xf>
    <xf numFmtId="171" fontId="2" fillId="3" borderId="3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center"/>
    </xf>
    <xf numFmtId="165" fontId="7" fillId="0" borderId="0" xfId="0" applyNumberFormat="1" applyFont="1"/>
    <xf numFmtId="165" fontId="9" fillId="0" borderId="0" xfId="0" applyNumberFormat="1" applyFont="1"/>
    <xf numFmtId="165" fontId="2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 vertical="center" wrapText="1"/>
    </xf>
    <xf numFmtId="168" fontId="2" fillId="3" borderId="3" xfId="0" applyNumberFormat="1" applyFont="1" applyFill="1" applyBorder="1" applyAlignment="1">
      <alignment horizontal="right"/>
    </xf>
    <xf numFmtId="168" fontId="1" fillId="0" borderId="3" xfId="0" applyNumberFormat="1" applyFont="1" applyBorder="1" applyAlignment="1">
      <alignment horizontal="right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66" fontId="19" fillId="0" borderId="0" xfId="0" applyNumberFormat="1" applyFont="1"/>
    <xf numFmtId="0" fontId="19" fillId="0" borderId="0" xfId="0" applyFont="1"/>
    <xf numFmtId="0" fontId="20" fillId="0" borderId="0" xfId="0" applyFont="1" applyAlignment="1">
      <alignment vertical="center" wrapText="1"/>
    </xf>
    <xf numFmtId="166" fontId="19" fillId="4" borderId="0" xfId="0" applyNumberFormat="1" applyFont="1" applyFill="1"/>
    <xf numFmtId="0" fontId="21" fillId="0" borderId="0" xfId="0" applyFont="1" applyAlignment="1">
      <alignment vertical="center" wrapText="1"/>
    </xf>
    <xf numFmtId="164" fontId="21" fillId="0" borderId="0" xfId="0" applyNumberFormat="1" applyFont="1" applyAlignment="1">
      <alignment vertical="center" wrapText="1"/>
    </xf>
    <xf numFmtId="164" fontId="18" fillId="0" borderId="0" xfId="0" applyNumberFormat="1" applyFont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left" vertical="center" wrapText="1"/>
    </xf>
    <xf numFmtId="164" fontId="18" fillId="5" borderId="3" xfId="0" applyNumberFormat="1" applyFont="1" applyFill="1" applyBorder="1" applyAlignment="1">
      <alignment horizontal="right"/>
    </xf>
    <xf numFmtId="166" fontId="22" fillId="0" borderId="0" xfId="0" applyNumberFormat="1" applyFont="1"/>
    <xf numFmtId="0" fontId="22" fillId="0" borderId="0" xfId="0" applyFont="1"/>
    <xf numFmtId="0" fontId="16" fillId="2" borderId="3" xfId="0" applyFont="1" applyFill="1" applyBorder="1" applyAlignment="1">
      <alignment horizontal="left" vertical="center" wrapText="1"/>
    </xf>
    <xf numFmtId="164" fontId="16" fillId="2" borderId="3" xfId="0" applyNumberFormat="1" applyFont="1" applyFill="1" applyBorder="1" applyAlignment="1">
      <alignment horizontal="right"/>
    </xf>
    <xf numFmtId="166" fontId="23" fillId="0" borderId="0" xfId="0" applyNumberFormat="1" applyFont="1"/>
    <xf numFmtId="0" fontId="23" fillId="0" borderId="0" xfId="0" applyFont="1"/>
    <xf numFmtId="0" fontId="15" fillId="2" borderId="3" xfId="0" quotePrefix="1" applyFont="1" applyFill="1" applyBorder="1" applyAlignment="1">
      <alignment horizontal="left" vertical="center"/>
    </xf>
    <xf numFmtId="14" fontId="15" fillId="2" borderId="3" xfId="0" quotePrefix="1" applyNumberFormat="1" applyFont="1" applyFill="1" applyBorder="1" applyAlignment="1">
      <alignment horizontal="left" vertical="center"/>
    </xf>
    <xf numFmtId="0" fontId="15" fillId="0" borderId="3" xfId="0" quotePrefix="1" applyFont="1" applyBorder="1" applyAlignment="1">
      <alignment horizontal="left" vertical="center"/>
    </xf>
    <xf numFmtId="164" fontId="15" fillId="2" borderId="3" xfId="0" applyNumberFormat="1" applyFont="1" applyFill="1" applyBorder="1" applyAlignment="1">
      <alignment horizontal="right"/>
    </xf>
    <xf numFmtId="166" fontId="24" fillId="0" borderId="0" xfId="0" applyNumberFormat="1" applyFont="1"/>
    <xf numFmtId="0" fontId="24" fillId="0" borderId="0" xfId="0" applyFont="1"/>
    <xf numFmtId="0" fontId="16" fillId="2" borderId="3" xfId="0" quotePrefix="1" applyFont="1" applyFill="1" applyBorder="1" applyAlignment="1">
      <alignment horizontal="left" vertical="center"/>
    </xf>
    <xf numFmtId="14" fontId="16" fillId="2" borderId="3" xfId="0" quotePrefix="1" applyNumberFormat="1" applyFont="1" applyFill="1" applyBorder="1" applyAlignment="1">
      <alignment horizontal="left" vertical="center"/>
    </xf>
    <xf numFmtId="0" fontId="16" fillId="0" borderId="3" xfId="0" quotePrefix="1" applyFont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 wrapText="1"/>
    </xf>
    <xf numFmtId="0" fontId="15" fillId="2" borderId="3" xfId="0" quotePrefix="1" applyFont="1" applyFill="1" applyBorder="1" applyAlignment="1">
      <alignment horizontal="left" vertical="center" wrapText="1"/>
    </xf>
    <xf numFmtId="0" fontId="16" fillId="0" borderId="3" xfId="0" quotePrefix="1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quotePrefix="1" applyFont="1" applyBorder="1" applyAlignment="1">
      <alignment horizontal="left" vertical="center" wrapText="1"/>
    </xf>
    <xf numFmtId="0" fontId="16" fillId="0" borderId="3" xfId="0" applyFont="1" applyBorder="1" applyAlignment="1">
      <alignment wrapText="1"/>
    </xf>
    <xf numFmtId="164" fontId="21" fillId="2" borderId="3" xfId="0" applyNumberFormat="1" applyFont="1" applyFill="1" applyBorder="1" applyAlignment="1">
      <alignment horizontal="right"/>
    </xf>
    <xf numFmtId="0" fontId="16" fillId="5" borderId="3" xfId="0" applyFont="1" applyFill="1" applyBorder="1" applyAlignment="1">
      <alignment horizontal="left" vertical="center"/>
    </xf>
    <xf numFmtId="0" fontId="16" fillId="5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164" fontId="18" fillId="2" borderId="3" xfId="0" applyNumberFormat="1" applyFont="1" applyFill="1" applyBorder="1" applyAlignment="1">
      <alignment horizontal="right"/>
    </xf>
    <xf numFmtId="0" fontId="15" fillId="2" borderId="3" xfId="0" applyFont="1" applyFill="1" applyBorder="1" applyAlignment="1">
      <alignment horizontal="left" vertical="center" wrapText="1"/>
    </xf>
    <xf numFmtId="164" fontId="21" fillId="2" borderId="3" xfId="0" applyNumberFormat="1" applyFont="1" applyFill="1" applyBorder="1" applyAlignment="1">
      <alignment horizontal="right" wrapText="1"/>
    </xf>
    <xf numFmtId="164" fontId="16" fillId="5" borderId="3" xfId="0" applyNumberFormat="1" applyFont="1" applyFill="1" applyBorder="1" applyAlignment="1">
      <alignment horizontal="right"/>
    </xf>
    <xf numFmtId="164" fontId="16" fillId="0" borderId="3" xfId="0" applyNumberFormat="1" applyFont="1" applyBorder="1" applyAlignment="1">
      <alignment horizontal="right"/>
    </xf>
    <xf numFmtId="164" fontId="15" fillId="0" borderId="3" xfId="0" applyNumberFormat="1" applyFont="1" applyBorder="1" applyAlignment="1">
      <alignment horizontal="right"/>
    </xf>
    <xf numFmtId="0" fontId="25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/>
    </xf>
    <xf numFmtId="166" fontId="26" fillId="0" borderId="0" xfId="0" applyNumberFormat="1" applyFont="1"/>
    <xf numFmtId="0" fontId="26" fillId="0" borderId="0" xfId="0" applyFont="1"/>
    <xf numFmtId="164" fontId="15" fillId="2" borderId="3" xfId="0" applyNumberFormat="1" applyFont="1" applyFill="1" applyBorder="1" applyAlignment="1">
      <alignment horizontal="right" wrapText="1"/>
    </xf>
    <xf numFmtId="0" fontId="24" fillId="0" borderId="3" xfId="0" applyFont="1" applyBorder="1"/>
    <xf numFmtId="164" fontId="24" fillId="0" borderId="3" xfId="0" applyNumberFormat="1" applyFont="1" applyBorder="1"/>
    <xf numFmtId="0" fontId="16" fillId="0" borderId="3" xfId="0" applyFont="1" applyBorder="1" applyAlignment="1">
      <alignment horizontal="left"/>
    </xf>
    <xf numFmtId="166" fontId="27" fillId="0" borderId="0" xfId="0" applyNumberFormat="1" applyFont="1"/>
    <xf numFmtId="0" fontId="27" fillId="0" borderId="0" xfId="0" applyFont="1"/>
    <xf numFmtId="0" fontId="26" fillId="0" borderId="3" xfId="0" applyFont="1" applyBorder="1"/>
    <xf numFmtId="164" fontId="19" fillId="0" borderId="0" xfId="0" applyNumberFormat="1" applyFont="1"/>
    <xf numFmtId="168" fontId="19" fillId="0" borderId="0" xfId="0" applyNumberFormat="1" applyFont="1"/>
    <xf numFmtId="0" fontId="18" fillId="8" borderId="4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164" fontId="18" fillId="8" borderId="3" xfId="0" applyNumberFormat="1" applyFont="1" applyFill="1" applyBorder="1" applyAlignment="1">
      <alignment horizontal="center" vertical="center" wrapText="1"/>
    </xf>
    <xf numFmtId="168" fontId="19" fillId="8" borderId="3" xfId="0" applyNumberFormat="1" applyFont="1" applyFill="1" applyBorder="1"/>
    <xf numFmtId="168" fontId="19" fillId="5" borderId="3" xfId="0" applyNumberFormat="1" applyFont="1" applyFill="1" applyBorder="1"/>
    <xf numFmtId="168" fontId="19" fillId="0" borderId="3" xfId="0" applyNumberFormat="1" applyFont="1" applyBorder="1"/>
    <xf numFmtId="168" fontId="19" fillId="4" borderId="3" xfId="0" applyNumberFormat="1" applyFont="1" applyFill="1" applyBorder="1" applyAlignment="1">
      <alignment horizontal="center"/>
    </xf>
    <xf numFmtId="168" fontId="5" fillId="4" borderId="3" xfId="0" applyNumberFormat="1" applyFont="1" applyFill="1" applyBorder="1" applyAlignment="1">
      <alignment horizontal="center"/>
    </xf>
    <xf numFmtId="0" fontId="28" fillId="2" borderId="3" xfId="0" quotePrefix="1" applyFont="1" applyFill="1" applyBorder="1" applyAlignment="1">
      <alignment horizontal="left" vertical="center" wrapText="1"/>
    </xf>
    <xf numFmtId="168" fontId="5" fillId="0" borderId="3" xfId="0" applyNumberFormat="1" applyFont="1" applyBorder="1"/>
    <xf numFmtId="164" fontId="9" fillId="0" borderId="0" xfId="0" applyNumberFormat="1" applyFont="1"/>
    <xf numFmtId="164" fontId="1" fillId="0" borderId="0" xfId="0" applyNumberFormat="1" applyFont="1"/>
    <xf numFmtId="0" fontId="15" fillId="0" borderId="3" xfId="0" applyFont="1" applyBorder="1" applyAlignment="1">
      <alignment horizontal="left"/>
    </xf>
    <xf numFmtId="168" fontId="16" fillId="7" borderId="3" xfId="0" applyNumberFormat="1" applyFont="1" applyFill="1" applyBorder="1"/>
    <xf numFmtId="168" fontId="16" fillId="0" borderId="3" xfId="0" applyNumberFormat="1" applyFont="1" applyBorder="1"/>
    <xf numFmtId="168" fontId="15" fillId="6" borderId="3" xfId="0" applyNumberFormat="1" applyFont="1" applyFill="1" applyBorder="1"/>
    <xf numFmtId="168" fontId="15" fillId="0" borderId="3" xfId="0" applyNumberFormat="1" applyFont="1" applyBorder="1"/>
    <xf numFmtId="168" fontId="16" fillId="5" borderId="3" xfId="0" applyNumberFormat="1" applyFont="1" applyFill="1" applyBorder="1"/>
    <xf numFmtId="4" fontId="15" fillId="0" borderId="0" xfId="0" applyNumberFormat="1" applyFont="1"/>
    <xf numFmtId="168" fontId="15" fillId="0" borderId="0" xfId="0" applyNumberFormat="1" applyFont="1"/>
    <xf numFmtId="49" fontId="16" fillId="0" borderId="3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0" fontId="29" fillId="2" borderId="3" xfId="0" applyFont="1" applyFill="1" applyBorder="1" applyAlignment="1">
      <alignment horizontal="left" vertical="center" wrapText="1"/>
    </xf>
    <xf numFmtId="0" fontId="29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 wrapText="1"/>
    </xf>
    <xf numFmtId="0" fontId="29" fillId="2" borderId="3" xfId="0" applyFont="1" applyFill="1" applyBorder="1" applyAlignment="1">
      <alignment vertical="center" wrapText="1"/>
    </xf>
    <xf numFmtId="3" fontId="8" fillId="2" borderId="3" xfId="0" applyNumberFormat="1" applyFont="1" applyFill="1" applyBorder="1" applyAlignment="1">
      <alignment horizontal="right" wrapText="1"/>
    </xf>
    <xf numFmtId="0" fontId="30" fillId="0" borderId="0" xfId="0" applyFont="1"/>
    <xf numFmtId="0" fontId="30" fillId="0" borderId="0" xfId="0" applyFont="1" applyAlignment="1">
      <alignment vertical="center"/>
    </xf>
    <xf numFmtId="168" fontId="30" fillId="0" borderId="0" xfId="0" applyNumberFormat="1" applyFont="1"/>
    <xf numFmtId="0" fontId="9" fillId="0" borderId="0" xfId="0" applyFont="1" applyAlignment="1">
      <alignment horizontal="left" wrapText="1"/>
    </xf>
    <xf numFmtId="0" fontId="15" fillId="0" borderId="3" xfId="0" applyFont="1" applyBorder="1" applyAlignment="1">
      <alignment wrapText="1"/>
    </xf>
    <xf numFmtId="0" fontId="30" fillId="0" borderId="0" xfId="0" applyFont="1" applyAlignment="1">
      <alignment horizontal="left" wrapText="1"/>
    </xf>
    <xf numFmtId="166" fontId="31" fillId="0" borderId="0" xfId="0" applyNumberFormat="1" applyFont="1"/>
    <xf numFmtId="49" fontId="19" fillId="0" borderId="0" xfId="0" applyNumberFormat="1" applyFont="1"/>
    <xf numFmtId="49" fontId="30" fillId="0" borderId="0" xfId="0" applyNumberFormat="1" applyFont="1"/>
    <xf numFmtId="4" fontId="15" fillId="0" borderId="0" xfId="0" applyNumberFormat="1" applyFont="1" applyAlignment="1">
      <alignment wrapText="1"/>
    </xf>
    <xf numFmtId="0" fontId="15" fillId="0" borderId="1" xfId="0" applyFont="1" applyBorder="1"/>
    <xf numFmtId="0" fontId="7" fillId="0" borderId="0" xfId="0" applyFont="1" applyAlignment="1">
      <alignment horizontal="right" vertical="center"/>
    </xf>
    <xf numFmtId="168" fontId="16" fillId="6" borderId="3" xfId="0" applyNumberFormat="1" applyFont="1" applyFill="1" applyBorder="1"/>
    <xf numFmtId="168" fontId="15" fillId="2" borderId="3" xfId="0" applyNumberFormat="1" applyFont="1" applyFill="1" applyBorder="1"/>
    <xf numFmtId="168" fontId="2" fillId="4" borderId="3" xfId="0" applyNumberFormat="1" applyFont="1" applyFill="1" applyBorder="1" applyAlignment="1">
      <alignment horizontal="right"/>
    </xf>
    <xf numFmtId="0" fontId="9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3" borderId="1" xfId="0" quotePrefix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5" fillId="6" borderId="3" xfId="0" applyFont="1" applyFill="1" applyBorder="1"/>
    <xf numFmtId="0" fontId="15" fillId="0" borderId="3" xfId="0" applyFont="1" applyBorder="1"/>
    <xf numFmtId="0" fontId="18" fillId="4" borderId="3" xfId="0" applyFont="1" applyFill="1" applyBorder="1" applyAlignment="1">
      <alignment horizontal="center" vertical="center" wrapText="1"/>
    </xf>
    <xf numFmtId="0" fontId="16" fillId="5" borderId="3" xfId="0" applyFont="1" applyFill="1" applyBorder="1"/>
    <xf numFmtId="0" fontId="16" fillId="0" borderId="3" xfId="0" applyFont="1" applyBorder="1"/>
    <xf numFmtId="0" fontId="16" fillId="7" borderId="3" xfId="0" applyFont="1" applyFill="1" applyBorder="1"/>
    <xf numFmtId="0" fontId="16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center"/>
    </xf>
    <xf numFmtId="168" fontId="19" fillId="0" borderId="3" xfId="0" applyNumberFormat="1" applyFont="1" applyBorder="1" applyAlignment="1">
      <alignment horizontal="center"/>
    </xf>
    <xf numFmtId="0" fontId="30" fillId="0" borderId="0" xfId="0" applyFont="1" applyAlignment="1">
      <alignment horizontal="left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3"/>
  <sheetViews>
    <sheetView tabSelected="1" showWhiteSpace="0" view="pageLayout" zoomScaleNormal="100" workbookViewId="0"/>
  </sheetViews>
  <sheetFormatPr defaultRowHeight="15" x14ac:dyDescent="0.25"/>
  <cols>
    <col min="5" max="5" width="7.7109375" customWidth="1"/>
    <col min="6" max="6" width="25.28515625" hidden="1" customWidth="1"/>
    <col min="7" max="7" width="7.42578125" hidden="1" customWidth="1"/>
    <col min="8" max="8" width="16.28515625" hidden="1" customWidth="1"/>
    <col min="9" max="9" width="15.5703125" hidden="1" customWidth="1"/>
    <col min="10" max="12" width="15" customWidth="1"/>
  </cols>
  <sheetData>
    <row r="1" spans="1:33" s="28" customFormat="1" ht="12.75" x14ac:dyDescent="0.2">
      <c r="A1" s="42" t="s">
        <v>75</v>
      </c>
      <c r="B1" s="42"/>
      <c r="C1" s="42"/>
      <c r="D1" s="43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5"/>
      <c r="AG1" s="42"/>
    </row>
    <row r="2" spans="1:33" s="28" customFormat="1" ht="12.75" x14ac:dyDescent="0.2">
      <c r="A2" s="42" t="s">
        <v>141</v>
      </c>
      <c r="B2" s="42"/>
      <c r="C2" s="42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6"/>
      <c r="AG2" s="47"/>
    </row>
    <row r="3" spans="1:33" s="28" customFormat="1" ht="12.75" x14ac:dyDescent="0.2">
      <c r="A3" s="42" t="s">
        <v>142</v>
      </c>
      <c r="B3" s="42"/>
      <c r="C3" s="42"/>
      <c r="D3" s="43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8"/>
      <c r="AG3" s="42"/>
    </row>
    <row r="4" spans="1:33" s="28" customFormat="1" ht="12.75" x14ac:dyDescent="0.2">
      <c r="A4" s="42" t="s">
        <v>136</v>
      </c>
      <c r="B4" s="42"/>
      <c r="C4" s="42"/>
      <c r="D4" s="43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8"/>
      <c r="AG4" s="42"/>
    </row>
    <row r="5" spans="1:33" s="28" customFormat="1" ht="12.75" x14ac:dyDescent="0.2">
      <c r="A5" s="42"/>
      <c r="B5" s="42"/>
      <c r="C5" s="42"/>
      <c r="D5" s="43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8"/>
      <c r="AG5" s="42"/>
    </row>
    <row r="6" spans="1:33" s="28" customFormat="1" ht="12.75" x14ac:dyDescent="0.2">
      <c r="A6" s="42" t="s">
        <v>76</v>
      </c>
      <c r="B6" s="42"/>
      <c r="C6" s="42"/>
      <c r="D6" s="43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8"/>
      <c r="AG6" s="42"/>
    </row>
    <row r="7" spans="1:33" s="28" customFormat="1" ht="12.75" x14ac:dyDescent="0.2">
      <c r="A7" s="42" t="s">
        <v>143</v>
      </c>
      <c r="B7" s="42"/>
      <c r="C7" s="42"/>
      <c r="D7" s="43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8"/>
      <c r="AG7" s="42"/>
    </row>
    <row r="8" spans="1:33" s="28" customFormat="1" ht="12.75" x14ac:dyDescent="0.2">
      <c r="A8" s="42"/>
      <c r="B8" s="42"/>
      <c r="C8" s="42"/>
      <c r="D8" s="43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8"/>
      <c r="AG8" s="42"/>
    </row>
    <row r="9" spans="1:33" ht="42" customHeight="1" x14ac:dyDescent="0.25">
      <c r="A9" s="198" t="s">
        <v>140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76"/>
      <c r="O9" s="76"/>
    </row>
    <row r="10" spans="1:33" ht="11.25" customHeigh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28"/>
      <c r="N10" s="28"/>
      <c r="O10" s="28"/>
    </row>
    <row r="11" spans="1:33" ht="15.75" customHeight="1" x14ac:dyDescent="0.25">
      <c r="A11" s="197" t="s">
        <v>34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67"/>
      <c r="O11" s="67"/>
    </row>
    <row r="12" spans="1:33" ht="8.25" customHeight="1" x14ac:dyDescent="0.25">
      <c r="A12" s="197"/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28"/>
      <c r="O12" s="28"/>
    </row>
    <row r="13" spans="1:33" ht="18" customHeight="1" x14ac:dyDescent="0.25">
      <c r="A13" s="197" t="s">
        <v>40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67"/>
      <c r="O13" s="67"/>
    </row>
    <row r="14" spans="1:33" x14ac:dyDescent="0.25">
      <c r="A14" s="29"/>
      <c r="B14" s="30"/>
      <c r="C14" s="30"/>
      <c r="D14" s="30"/>
      <c r="E14" s="31"/>
      <c r="F14" s="32"/>
      <c r="G14" s="32"/>
      <c r="H14" s="32"/>
      <c r="I14" s="32"/>
      <c r="J14" s="27"/>
      <c r="K14" s="175"/>
      <c r="L14" s="175"/>
      <c r="M14" s="28"/>
      <c r="N14" s="28"/>
      <c r="O14" s="19"/>
    </row>
    <row r="15" spans="1:33" ht="25.5" x14ac:dyDescent="0.25">
      <c r="A15" s="3"/>
      <c r="B15" s="4"/>
      <c r="C15" s="4"/>
      <c r="D15" s="5"/>
      <c r="E15" s="6"/>
      <c r="F15" s="2" t="s">
        <v>42</v>
      </c>
      <c r="G15" s="2" t="s">
        <v>43</v>
      </c>
      <c r="H15" s="2" t="s">
        <v>45</v>
      </c>
      <c r="I15" s="2" t="s">
        <v>126</v>
      </c>
      <c r="J15" s="2" t="s">
        <v>45</v>
      </c>
      <c r="K15" s="2" t="s">
        <v>126</v>
      </c>
      <c r="L15" s="2" t="s">
        <v>127</v>
      </c>
      <c r="M15" s="2" t="s">
        <v>130</v>
      </c>
      <c r="N15" s="67"/>
      <c r="O15" s="67"/>
    </row>
    <row r="16" spans="1:33" s="18" customFormat="1" ht="12.75" x14ac:dyDescent="0.2">
      <c r="A16" s="3"/>
      <c r="B16" s="4"/>
      <c r="C16" s="4"/>
      <c r="D16" s="5"/>
      <c r="E16" s="6"/>
      <c r="F16" s="2"/>
      <c r="G16" s="2"/>
      <c r="H16" s="2">
        <v>1</v>
      </c>
      <c r="I16" s="2">
        <v>2</v>
      </c>
      <c r="J16" s="2">
        <v>1</v>
      </c>
      <c r="K16" s="2">
        <v>2</v>
      </c>
      <c r="L16" s="2">
        <v>3</v>
      </c>
      <c r="M16" s="33" t="s">
        <v>74</v>
      </c>
      <c r="N16" s="68"/>
      <c r="O16" s="68"/>
    </row>
    <row r="17" spans="1:15" x14ac:dyDescent="0.25">
      <c r="A17" s="180" t="s">
        <v>0</v>
      </c>
      <c r="B17" s="181"/>
      <c r="C17" s="181"/>
      <c r="D17" s="181"/>
      <c r="E17" s="182"/>
      <c r="F17" s="7">
        <v>0</v>
      </c>
      <c r="G17" s="7">
        <v>0</v>
      </c>
      <c r="H17" s="13">
        <f>H18+H19</f>
        <v>19591825.629999999</v>
      </c>
      <c r="I17" s="13">
        <f>I18+I19</f>
        <v>1010433.1200000003</v>
      </c>
      <c r="J17" s="13">
        <f>J18+J19</f>
        <v>20602258.75</v>
      </c>
      <c r="K17" s="13">
        <f t="shared" ref="K17:K23" si="0">L17-J17</f>
        <v>1857940</v>
      </c>
      <c r="L17" s="13">
        <v>22460198.75</v>
      </c>
      <c r="M17" s="74">
        <f t="shared" ref="M17:M23" si="1">L17/J17</f>
        <v>1.090181373923381</v>
      </c>
      <c r="N17" s="69"/>
      <c r="O17" s="69"/>
    </row>
    <row r="18" spans="1:15" x14ac:dyDescent="0.25">
      <c r="A18" s="183" t="s">
        <v>1</v>
      </c>
      <c r="B18" s="184"/>
      <c r="C18" s="184"/>
      <c r="D18" s="184"/>
      <c r="E18" s="185"/>
      <c r="F18" s="8"/>
      <c r="G18" s="8"/>
      <c r="H18" s="14">
        <v>19591560.18</v>
      </c>
      <c r="I18" s="14">
        <f>J18-H18</f>
        <v>1000398.5700000003</v>
      </c>
      <c r="J18" s="14">
        <v>20591958.75</v>
      </c>
      <c r="K18" s="14">
        <f t="shared" si="0"/>
        <v>1857940</v>
      </c>
      <c r="L18" s="14">
        <v>22449898.75</v>
      </c>
      <c r="M18" s="75">
        <f t="shared" si="1"/>
        <v>1.0902264822184533</v>
      </c>
      <c r="N18" s="70"/>
      <c r="O18" s="70"/>
    </row>
    <row r="19" spans="1:15" x14ac:dyDescent="0.25">
      <c r="A19" s="186" t="s">
        <v>2</v>
      </c>
      <c r="B19" s="185"/>
      <c r="C19" s="185"/>
      <c r="D19" s="185"/>
      <c r="E19" s="185"/>
      <c r="F19" s="8"/>
      <c r="G19" s="8"/>
      <c r="H19" s="14">
        <v>265.45</v>
      </c>
      <c r="I19" s="14">
        <f>J19-H19</f>
        <v>10034.549999999999</v>
      </c>
      <c r="J19" s="14">
        <v>10300</v>
      </c>
      <c r="K19" s="14">
        <f t="shared" si="0"/>
        <v>0</v>
      </c>
      <c r="L19" s="14">
        <v>10300</v>
      </c>
      <c r="M19" s="75">
        <f t="shared" si="1"/>
        <v>1</v>
      </c>
      <c r="N19" s="70"/>
      <c r="O19" s="70"/>
    </row>
    <row r="20" spans="1:15" ht="31.5" customHeight="1" x14ac:dyDescent="0.25">
      <c r="A20" s="11" t="s">
        <v>3</v>
      </c>
      <c r="B20" s="12"/>
      <c r="C20" s="12"/>
      <c r="D20" s="12"/>
      <c r="E20" s="12"/>
      <c r="F20" s="7">
        <v>0</v>
      </c>
      <c r="G20" s="7">
        <v>0</v>
      </c>
      <c r="H20" s="13">
        <f>H21+H22</f>
        <v>19591825.629999999</v>
      </c>
      <c r="I20" s="13">
        <f>I21+I22</f>
        <v>969382.64000000176</v>
      </c>
      <c r="J20" s="13">
        <f>J21+J22</f>
        <v>20561208.27</v>
      </c>
      <c r="K20" s="13">
        <f t="shared" si="0"/>
        <v>1857940</v>
      </c>
      <c r="L20" s="13">
        <v>22419148.27</v>
      </c>
      <c r="M20" s="74">
        <f t="shared" si="1"/>
        <v>1.0903614211578627</v>
      </c>
      <c r="N20" s="69"/>
      <c r="O20" s="69"/>
    </row>
    <row r="21" spans="1:15" ht="23.25" customHeight="1" x14ac:dyDescent="0.25">
      <c r="A21" s="187" t="s">
        <v>4</v>
      </c>
      <c r="B21" s="184"/>
      <c r="C21" s="184"/>
      <c r="D21" s="184"/>
      <c r="E21" s="184"/>
      <c r="F21" s="8"/>
      <c r="G21" s="8"/>
      <c r="H21" s="14">
        <v>18338428.579999998</v>
      </c>
      <c r="I21" s="14">
        <f>J21-H21</f>
        <v>915011.42000000179</v>
      </c>
      <c r="J21" s="15">
        <v>19253440</v>
      </c>
      <c r="K21" s="15">
        <f t="shared" si="0"/>
        <v>1840835.6000000015</v>
      </c>
      <c r="L21" s="15">
        <v>21094275.600000001</v>
      </c>
      <c r="M21" s="75">
        <f t="shared" si="1"/>
        <v>1.0956107376136421</v>
      </c>
      <c r="N21" s="70"/>
      <c r="O21" s="70"/>
    </row>
    <row r="22" spans="1:15" x14ac:dyDescent="0.25">
      <c r="A22" s="186" t="s">
        <v>5</v>
      </c>
      <c r="B22" s="185"/>
      <c r="C22" s="185"/>
      <c r="D22" s="185"/>
      <c r="E22" s="185"/>
      <c r="F22" s="8"/>
      <c r="G22" s="8"/>
      <c r="H22" s="14">
        <v>1253397.05</v>
      </c>
      <c r="I22" s="14">
        <f>J22-H22</f>
        <v>54371.219999999972</v>
      </c>
      <c r="J22" s="15">
        <v>1307768.27</v>
      </c>
      <c r="K22" s="15">
        <f t="shared" si="0"/>
        <v>17104.399999999907</v>
      </c>
      <c r="L22" s="15">
        <v>1324872.67</v>
      </c>
      <c r="M22" s="75">
        <f t="shared" si="1"/>
        <v>1.0130790755460062</v>
      </c>
      <c r="N22" s="70"/>
      <c r="O22" s="70"/>
    </row>
    <row r="23" spans="1:15" ht="21" customHeight="1" x14ac:dyDescent="0.25">
      <c r="A23" s="196" t="s">
        <v>6</v>
      </c>
      <c r="B23" s="181"/>
      <c r="C23" s="181"/>
      <c r="D23" s="181"/>
      <c r="E23" s="181"/>
      <c r="F23" s="7">
        <v>0</v>
      </c>
      <c r="G23" s="7">
        <v>0</v>
      </c>
      <c r="H23" s="16">
        <v>0</v>
      </c>
      <c r="I23" s="16">
        <f>I17-I20</f>
        <v>41050.479999998584</v>
      </c>
      <c r="J23" s="16">
        <f>J17-J20</f>
        <v>41050.480000000447</v>
      </c>
      <c r="K23" s="16">
        <f t="shared" si="0"/>
        <v>-4.4383341446518898E-10</v>
      </c>
      <c r="L23" s="16">
        <v>41050.480000000003</v>
      </c>
      <c r="M23" s="74">
        <f t="shared" si="1"/>
        <v>0.99999999999998923</v>
      </c>
      <c r="N23" s="70"/>
      <c r="O23" s="70"/>
    </row>
    <row r="24" spans="1:15" ht="12" customHeight="1" x14ac:dyDescent="0.25">
      <c r="A24" s="17"/>
      <c r="B24" s="34"/>
      <c r="C24" s="34"/>
      <c r="D24" s="34"/>
      <c r="E24" s="34"/>
      <c r="F24" s="34"/>
      <c r="G24" s="34"/>
      <c r="H24" s="1"/>
      <c r="I24" s="146"/>
      <c r="J24" s="1"/>
      <c r="K24" s="1"/>
      <c r="L24" s="1"/>
      <c r="M24" s="28"/>
      <c r="N24" s="28"/>
      <c r="O24" s="28"/>
    </row>
    <row r="25" spans="1:15" ht="18" customHeight="1" x14ac:dyDescent="0.25">
      <c r="A25" s="197" t="s">
        <v>41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</row>
    <row r="26" spans="1:15" ht="11.25" customHeight="1" x14ac:dyDescent="0.25">
      <c r="A26" s="17"/>
      <c r="B26" s="34"/>
      <c r="C26" s="34"/>
      <c r="D26" s="34"/>
      <c r="E26" s="34"/>
      <c r="F26" s="34"/>
      <c r="G26" s="34"/>
      <c r="H26" s="1"/>
      <c r="I26" s="1"/>
      <c r="J26" s="1"/>
      <c r="K26" s="1"/>
      <c r="L26" s="1"/>
      <c r="M26" s="28"/>
      <c r="N26" s="28"/>
      <c r="O26" s="28"/>
    </row>
    <row r="27" spans="1:15" ht="25.5" x14ac:dyDescent="0.25">
      <c r="A27" s="3"/>
      <c r="B27" s="4"/>
      <c r="C27" s="4"/>
      <c r="D27" s="5"/>
      <c r="E27" s="6"/>
      <c r="F27" s="2" t="s">
        <v>12</v>
      </c>
      <c r="G27" s="2" t="s">
        <v>13</v>
      </c>
      <c r="H27" s="2" t="s">
        <v>45</v>
      </c>
      <c r="I27" s="2" t="s">
        <v>126</v>
      </c>
      <c r="J27" s="2" t="s">
        <v>45</v>
      </c>
      <c r="K27" s="2" t="s">
        <v>126</v>
      </c>
      <c r="L27" s="2" t="s">
        <v>127</v>
      </c>
      <c r="M27" s="2" t="s">
        <v>130</v>
      </c>
      <c r="N27" s="71"/>
      <c r="O27" s="71"/>
    </row>
    <row r="28" spans="1:15" s="25" customFormat="1" ht="12.75" x14ac:dyDescent="0.2">
      <c r="A28" s="3"/>
      <c r="B28" s="4"/>
      <c r="C28" s="4"/>
      <c r="D28" s="5"/>
      <c r="E28" s="6"/>
      <c r="F28" s="2"/>
      <c r="G28" s="2"/>
      <c r="H28" s="2">
        <v>1</v>
      </c>
      <c r="I28" s="2">
        <v>2</v>
      </c>
      <c r="J28" s="2">
        <v>1</v>
      </c>
      <c r="K28" s="2">
        <v>2</v>
      </c>
      <c r="L28" s="2">
        <v>3</v>
      </c>
      <c r="M28" s="33" t="s">
        <v>74</v>
      </c>
      <c r="N28" s="72"/>
      <c r="O28" s="72"/>
    </row>
    <row r="29" spans="1:15" ht="15.75" customHeight="1" x14ac:dyDescent="0.25">
      <c r="A29" s="183" t="s">
        <v>8</v>
      </c>
      <c r="B29" s="194"/>
      <c r="C29" s="194"/>
      <c r="D29" s="194"/>
      <c r="E29" s="195"/>
      <c r="F29" s="8"/>
      <c r="G29" s="8"/>
      <c r="H29" s="14"/>
      <c r="I29" s="14"/>
      <c r="J29" s="14"/>
      <c r="K29" s="14"/>
      <c r="L29" s="14"/>
      <c r="M29" s="24"/>
      <c r="N29" s="70"/>
      <c r="O29" s="70"/>
    </row>
    <row r="30" spans="1:15" ht="32.25" customHeight="1" x14ac:dyDescent="0.25">
      <c r="A30" s="183" t="s">
        <v>9</v>
      </c>
      <c r="B30" s="184"/>
      <c r="C30" s="184"/>
      <c r="D30" s="184"/>
      <c r="E30" s="184"/>
      <c r="F30" s="8"/>
      <c r="G30" s="8"/>
      <c r="H30" s="14"/>
      <c r="I30" s="14"/>
      <c r="J30" s="14"/>
      <c r="K30" s="14"/>
      <c r="L30" s="14"/>
      <c r="M30" s="24"/>
      <c r="N30" s="70"/>
      <c r="O30" s="70"/>
    </row>
    <row r="31" spans="1:15" x14ac:dyDescent="0.25">
      <c r="A31" s="196" t="s">
        <v>10</v>
      </c>
      <c r="B31" s="181"/>
      <c r="C31" s="181"/>
      <c r="D31" s="181"/>
      <c r="E31" s="181"/>
      <c r="F31" s="7">
        <v>0</v>
      </c>
      <c r="G31" s="7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23"/>
      <c r="N31" s="70"/>
      <c r="O31" s="70"/>
    </row>
    <row r="32" spans="1:15" ht="11.25" customHeight="1" x14ac:dyDescent="0.25">
      <c r="A32" s="35"/>
      <c r="B32" s="34"/>
      <c r="C32" s="34"/>
      <c r="D32" s="34"/>
      <c r="E32" s="34"/>
      <c r="F32" s="34"/>
      <c r="G32" s="34"/>
      <c r="H32" s="1"/>
      <c r="I32" s="1"/>
      <c r="J32" s="1"/>
      <c r="K32" s="1"/>
      <c r="L32" s="1"/>
      <c r="M32" s="28"/>
      <c r="N32" s="28"/>
      <c r="O32" s="28"/>
    </row>
    <row r="33" spans="1:21" ht="18" customHeight="1" x14ac:dyDescent="0.25">
      <c r="A33" s="197" t="s">
        <v>50</v>
      </c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</row>
    <row r="34" spans="1:21" ht="6.75" customHeight="1" x14ac:dyDescent="0.25">
      <c r="A34" s="35"/>
      <c r="B34" s="34"/>
      <c r="C34" s="34"/>
      <c r="D34" s="34"/>
      <c r="E34" s="34"/>
      <c r="F34" s="34"/>
      <c r="G34" s="34"/>
      <c r="H34" s="1"/>
      <c r="I34" s="1"/>
      <c r="J34" s="1"/>
      <c r="K34" s="1"/>
      <c r="L34" s="1"/>
      <c r="M34" s="28"/>
      <c r="N34" s="28"/>
      <c r="O34" s="28"/>
    </row>
    <row r="35" spans="1:21" ht="25.5" x14ac:dyDescent="0.25">
      <c r="A35" s="3"/>
      <c r="B35" s="4"/>
      <c r="C35" s="4"/>
      <c r="D35" s="5"/>
      <c r="E35" s="6"/>
      <c r="F35" s="2" t="s">
        <v>12</v>
      </c>
      <c r="G35" s="2" t="s">
        <v>13</v>
      </c>
      <c r="H35" s="2" t="s">
        <v>45</v>
      </c>
      <c r="I35" s="2" t="s">
        <v>126</v>
      </c>
      <c r="J35" s="2" t="s">
        <v>45</v>
      </c>
      <c r="K35" s="2" t="s">
        <v>126</v>
      </c>
      <c r="L35" s="2" t="s">
        <v>127</v>
      </c>
      <c r="M35" s="2" t="s">
        <v>130</v>
      </c>
      <c r="N35" s="73"/>
      <c r="O35" s="73"/>
    </row>
    <row r="36" spans="1:21" s="25" customFormat="1" ht="12.75" x14ac:dyDescent="0.2">
      <c r="A36" s="3"/>
      <c r="B36" s="4"/>
      <c r="C36" s="4"/>
      <c r="D36" s="5"/>
      <c r="E36" s="6"/>
      <c r="F36" s="26"/>
      <c r="G36" s="26"/>
      <c r="H36" s="26">
        <v>1</v>
      </c>
      <c r="I36" s="26">
        <v>2</v>
      </c>
      <c r="J36" s="2">
        <v>1</v>
      </c>
      <c r="K36" s="2">
        <v>2</v>
      </c>
      <c r="L36" s="2">
        <v>3</v>
      </c>
      <c r="M36" s="33" t="s">
        <v>74</v>
      </c>
      <c r="N36" s="72"/>
      <c r="O36" s="72"/>
    </row>
    <row r="37" spans="1:21" ht="23.25" customHeight="1" x14ac:dyDescent="0.25">
      <c r="A37" s="188" t="s">
        <v>44</v>
      </c>
      <c r="B37" s="189"/>
      <c r="C37" s="189"/>
      <c r="D37" s="189"/>
      <c r="E37" s="190"/>
      <c r="F37" s="9"/>
      <c r="G37" s="9"/>
      <c r="H37" s="9"/>
      <c r="I37" s="58">
        <f>I38</f>
        <v>-41050.479999998584</v>
      </c>
      <c r="J37" s="59">
        <f>I37</f>
        <v>-41050.479999998584</v>
      </c>
      <c r="K37" s="59"/>
      <c r="L37" s="59">
        <v>-41050.480000000003</v>
      </c>
      <c r="M37" s="178">
        <f>L37/J37</f>
        <v>1.0000000000000346</v>
      </c>
      <c r="N37" s="70"/>
      <c r="O37" s="70"/>
    </row>
    <row r="38" spans="1:21" ht="30" customHeight="1" x14ac:dyDescent="0.25">
      <c r="A38" s="191" t="s">
        <v>7</v>
      </c>
      <c r="B38" s="192"/>
      <c r="C38" s="192"/>
      <c r="D38" s="192"/>
      <c r="E38" s="193"/>
      <c r="F38" s="10"/>
      <c r="G38" s="10"/>
      <c r="H38" s="10"/>
      <c r="I38" s="60">
        <f>I20-I17</f>
        <v>-41050.479999998584</v>
      </c>
      <c r="J38" s="61">
        <f>I38</f>
        <v>-41050.479999998584</v>
      </c>
      <c r="K38" s="61"/>
      <c r="L38" s="61">
        <v>-41050.480000000003</v>
      </c>
      <c r="M38" s="178">
        <f>L38/J38</f>
        <v>1.0000000000000346</v>
      </c>
      <c r="N38" s="28"/>
      <c r="O38" s="28"/>
    </row>
    <row r="39" spans="1:21" x14ac:dyDescent="0.25">
      <c r="A39" s="28"/>
      <c r="B39" s="28"/>
      <c r="C39" s="28"/>
      <c r="D39" s="28"/>
      <c r="E39" s="28"/>
      <c r="F39" s="28"/>
      <c r="G39" s="28"/>
      <c r="H39" s="28"/>
      <c r="I39" s="145"/>
      <c r="J39" s="145"/>
      <c r="K39" s="145"/>
      <c r="L39" s="145"/>
      <c r="M39" s="28"/>
      <c r="N39" s="28"/>
      <c r="O39" s="28"/>
      <c r="S39" s="179"/>
      <c r="T39" s="179"/>
      <c r="U39" s="179"/>
    </row>
    <row r="40" spans="1:21" x14ac:dyDescent="0.25">
      <c r="A40" s="187" t="s">
        <v>11</v>
      </c>
      <c r="B40" s="184"/>
      <c r="C40" s="184"/>
      <c r="D40" s="184"/>
      <c r="E40" s="184"/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/>
      <c r="L40" s="8">
        <v>0</v>
      </c>
      <c r="M40" s="36"/>
      <c r="N40" s="28"/>
      <c r="O40" s="28"/>
      <c r="S40" s="156"/>
      <c r="T40" s="28"/>
    </row>
    <row r="41" spans="1:21" ht="11.25" customHeight="1" x14ac:dyDescent="0.25">
      <c r="A41" s="37"/>
      <c r="B41" s="38"/>
      <c r="C41" s="38"/>
      <c r="D41" s="38"/>
      <c r="E41" s="38"/>
      <c r="F41" s="39"/>
      <c r="G41" s="39"/>
      <c r="H41" s="39"/>
      <c r="I41" s="39"/>
      <c r="J41" s="39"/>
      <c r="K41" s="39"/>
      <c r="L41" s="39"/>
      <c r="M41" s="28"/>
      <c r="N41" s="28"/>
      <c r="O41" s="28"/>
      <c r="S41" s="41"/>
      <c r="T41" s="41"/>
    </row>
    <row r="42" spans="1:21" ht="13.5" customHeight="1" x14ac:dyDescent="0.25">
      <c r="A42" s="40"/>
      <c r="B42" s="41"/>
      <c r="C42" s="41"/>
      <c r="D42" s="41"/>
      <c r="E42" s="41"/>
      <c r="F42" s="41"/>
      <c r="G42" s="41"/>
      <c r="H42" s="41"/>
      <c r="I42" s="179"/>
      <c r="J42" s="179"/>
      <c r="K42" s="167"/>
      <c r="L42" s="179" t="s">
        <v>138</v>
      </c>
      <c r="M42" s="179"/>
      <c r="N42" s="179"/>
      <c r="O42" s="179"/>
      <c r="P42" s="179"/>
      <c r="Q42" s="179"/>
      <c r="S42" s="28"/>
      <c r="T42" s="28"/>
    </row>
    <row r="43" spans="1:2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156" t="s">
        <v>139</v>
      </c>
      <c r="O43" s="28"/>
    </row>
  </sheetData>
  <mergeCells count="21">
    <mergeCell ref="A11:M12"/>
    <mergeCell ref="A13:M13"/>
    <mergeCell ref="A9:M9"/>
    <mergeCell ref="A22:E22"/>
    <mergeCell ref="A23:E23"/>
    <mergeCell ref="A21:E21"/>
    <mergeCell ref="S39:U39"/>
    <mergeCell ref="O42:Q42"/>
    <mergeCell ref="I42:J42"/>
    <mergeCell ref="A17:E17"/>
    <mergeCell ref="A18:E18"/>
    <mergeCell ref="A19:E19"/>
    <mergeCell ref="L42:N42"/>
    <mergeCell ref="A40:E40"/>
    <mergeCell ref="A37:E37"/>
    <mergeCell ref="A38:E38"/>
    <mergeCell ref="A29:E29"/>
    <mergeCell ref="A30:E30"/>
    <mergeCell ref="A31:E31"/>
    <mergeCell ref="A33:O33"/>
    <mergeCell ref="A25:O25"/>
  </mergeCells>
  <pageMargins left="0.7" right="0.7" top="0.75" bottom="0.75" header="0.3" footer="0.3"/>
  <pageSetup paperSize="9" scale="69" fitToWidth="0" orientation="landscape" r:id="rId1"/>
  <headerFooter>
    <oddHeader>&amp;L&amp;"-,Podebljano"ZAVOD ZA HITNU MEDICINU SPLITSKO-DALMATINSKE ŽUPANIJE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"/>
  <sheetViews>
    <sheetView view="pageLayout" zoomScaleNormal="100" workbookViewId="0">
      <selection sqref="A1:J1"/>
    </sheetView>
  </sheetViews>
  <sheetFormatPr defaultRowHeight="11.25" x14ac:dyDescent="0.2"/>
  <cols>
    <col min="1" max="1" width="5.140625" style="81" customWidth="1"/>
    <col min="2" max="2" width="6.140625" style="81" customWidth="1"/>
    <col min="3" max="3" width="8.28515625" style="81" customWidth="1"/>
    <col min="4" max="4" width="25.28515625" style="81" customWidth="1"/>
    <col min="5" max="5" width="16.7109375" style="81" hidden="1" customWidth="1"/>
    <col min="6" max="6" width="12.42578125" style="81" hidden="1" customWidth="1"/>
    <col min="7" max="9" width="13.28515625" style="81" customWidth="1"/>
    <col min="10" max="10" width="8.7109375" style="134" customWidth="1"/>
    <col min="11" max="11" width="14.42578125" style="80" customWidth="1"/>
    <col min="12" max="12" width="12" style="80" customWidth="1"/>
    <col min="13" max="13" width="16.42578125" style="83" hidden="1" customWidth="1"/>
    <col min="14" max="14" width="11" style="80" hidden="1" customWidth="1"/>
    <col min="15" max="16" width="7.42578125" style="80" customWidth="1"/>
    <col min="17" max="16384" width="9.140625" style="81"/>
  </cols>
  <sheetData>
    <row r="1" spans="1:16" ht="42" customHeight="1" x14ac:dyDescent="0.2">
      <c r="A1" s="204" t="s">
        <v>140</v>
      </c>
      <c r="B1" s="204"/>
      <c r="C1" s="204"/>
      <c r="D1" s="204"/>
      <c r="E1" s="204"/>
      <c r="F1" s="204"/>
      <c r="G1" s="204"/>
      <c r="H1" s="204"/>
      <c r="I1" s="204"/>
      <c r="J1" s="204"/>
      <c r="K1" s="79"/>
      <c r="L1" s="79"/>
      <c r="M1" s="79"/>
    </row>
    <row r="2" spans="1:16" ht="18" customHeight="1" x14ac:dyDescent="0.2">
      <c r="A2" s="82"/>
    </row>
    <row r="3" spans="1:16" ht="11.25" customHeight="1" x14ac:dyDescent="0.2">
      <c r="A3" s="204" t="s">
        <v>34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6" x14ac:dyDescent="0.2">
      <c r="A4" s="78"/>
      <c r="B4" s="78"/>
      <c r="C4" s="78"/>
      <c r="D4" s="78"/>
      <c r="E4" s="78"/>
      <c r="F4" s="84"/>
      <c r="G4" s="84"/>
      <c r="H4" s="84"/>
      <c r="I4" s="84"/>
    </row>
    <row r="5" spans="1:16" ht="18" customHeight="1" x14ac:dyDescent="0.2">
      <c r="A5" s="204" t="s">
        <v>15</v>
      </c>
      <c r="B5" s="204"/>
      <c r="C5" s="204"/>
      <c r="D5" s="204"/>
      <c r="E5" s="204"/>
      <c r="F5" s="204"/>
      <c r="G5" s="204"/>
      <c r="H5" s="204"/>
      <c r="I5" s="204"/>
      <c r="J5" s="204"/>
    </row>
    <row r="6" spans="1:16" x14ac:dyDescent="0.2">
      <c r="A6" s="78"/>
      <c r="B6" s="78"/>
      <c r="C6" s="78"/>
      <c r="D6" s="78"/>
      <c r="E6" s="78"/>
      <c r="F6" s="84"/>
      <c r="G6" s="85"/>
      <c r="H6" s="85"/>
      <c r="I6" s="85"/>
    </row>
    <row r="7" spans="1:16" ht="11.25" customHeight="1" x14ac:dyDescent="0.2">
      <c r="A7" s="204" t="s">
        <v>1</v>
      </c>
      <c r="B7" s="204"/>
      <c r="C7" s="204"/>
      <c r="D7" s="204"/>
      <c r="E7" s="204"/>
      <c r="F7" s="204"/>
      <c r="G7" s="204"/>
      <c r="H7" s="204"/>
      <c r="I7" s="204"/>
      <c r="J7" s="204"/>
    </row>
    <row r="8" spans="1:16" x14ac:dyDescent="0.2">
      <c r="A8" s="78"/>
      <c r="B8" s="78"/>
      <c r="C8" s="78"/>
      <c r="D8" s="78"/>
      <c r="E8" s="86"/>
      <c r="F8" s="86"/>
      <c r="G8" s="86"/>
      <c r="H8" s="86"/>
      <c r="I8" s="86"/>
    </row>
    <row r="9" spans="1:16" ht="22.5" x14ac:dyDescent="0.2">
      <c r="A9" s="87" t="s">
        <v>16</v>
      </c>
      <c r="B9" s="87" t="s">
        <v>17</v>
      </c>
      <c r="C9" s="87" t="s">
        <v>18</v>
      </c>
      <c r="D9" s="87" t="s">
        <v>14</v>
      </c>
      <c r="E9" s="87" t="s">
        <v>45</v>
      </c>
      <c r="F9" s="87" t="s">
        <v>126</v>
      </c>
      <c r="G9" s="87" t="s">
        <v>45</v>
      </c>
      <c r="H9" s="87" t="s">
        <v>126</v>
      </c>
      <c r="I9" s="87" t="s">
        <v>127</v>
      </c>
      <c r="J9" s="141" t="s">
        <v>130</v>
      </c>
    </row>
    <row r="10" spans="1:16" ht="28.5" customHeight="1" x14ac:dyDescent="0.2">
      <c r="A10" s="202" t="s">
        <v>69</v>
      </c>
      <c r="B10" s="203"/>
      <c r="C10" s="203"/>
      <c r="D10" s="136"/>
      <c r="E10" s="137">
        <f>E11+E29</f>
        <v>19591825.629999999</v>
      </c>
      <c r="F10" s="137">
        <f>F11+F29</f>
        <v>1010433.1200000015</v>
      </c>
      <c r="G10" s="137">
        <f t="shared" ref="G10" si="0">G11+G29</f>
        <v>20602258.75</v>
      </c>
      <c r="H10" s="137">
        <f>I10-G10</f>
        <v>1857940</v>
      </c>
      <c r="I10" s="137">
        <f>SUM(I11,I29)</f>
        <v>22460198.75</v>
      </c>
      <c r="J10" s="138">
        <f>I10/G10</f>
        <v>1.090181373923381</v>
      </c>
      <c r="M10" s="83">
        <f t="shared" ref="M10:M41" si="1">E10+F10</f>
        <v>20602258.75</v>
      </c>
      <c r="N10" s="80">
        <f>G10-M10</f>
        <v>0</v>
      </c>
    </row>
    <row r="11" spans="1:16" s="92" customFormat="1" ht="26.25" customHeight="1" x14ac:dyDescent="0.2">
      <c r="A11" s="89">
        <v>6</v>
      </c>
      <c r="B11" s="89"/>
      <c r="C11" s="89"/>
      <c r="D11" s="89" t="s">
        <v>19</v>
      </c>
      <c r="E11" s="90">
        <f>E12+E17+E19+E21+E27+E15</f>
        <v>19591560.18</v>
      </c>
      <c r="F11" s="90">
        <f t="shared" ref="F11:G11" si="2">F12+F17+F19+F21+F27+F15</f>
        <v>1000398.5700000015</v>
      </c>
      <c r="G11" s="90">
        <f t="shared" si="2"/>
        <v>20591958.75</v>
      </c>
      <c r="H11" s="90">
        <f>I11-G11</f>
        <v>1857940</v>
      </c>
      <c r="I11" s="90">
        <f>SUM(I12,I15,I17,I19,I21,I27)</f>
        <v>22449898.75</v>
      </c>
      <c r="J11" s="139">
        <f>I11/G11</f>
        <v>1.0902264822184533</v>
      </c>
      <c r="K11" s="91"/>
      <c r="L11" s="91"/>
      <c r="M11" s="83">
        <f t="shared" si="1"/>
        <v>20591958.75</v>
      </c>
      <c r="N11" s="80">
        <f t="shared" ref="N11:N65" si="3">G11-M11</f>
        <v>0</v>
      </c>
      <c r="O11" s="91"/>
      <c r="P11" s="91"/>
    </row>
    <row r="12" spans="1:16" s="96" customFormat="1" ht="33.75" x14ac:dyDescent="0.2">
      <c r="A12" s="93"/>
      <c r="B12" s="93">
        <v>63</v>
      </c>
      <c r="C12" s="93"/>
      <c r="D12" s="93" t="s">
        <v>47</v>
      </c>
      <c r="E12" s="94">
        <f>E13+E14</f>
        <v>1223571.57</v>
      </c>
      <c r="F12" s="94">
        <f>F13+F14</f>
        <v>344046.25000000012</v>
      </c>
      <c r="G12" s="94">
        <f>G13+G14</f>
        <v>1567617.82</v>
      </c>
      <c r="H12" s="94">
        <f>I12-G12</f>
        <v>829230.00000000023</v>
      </c>
      <c r="I12" s="94">
        <f>SUM(I13:I14)</f>
        <v>2396847.8200000003</v>
      </c>
      <c r="J12" s="140">
        <f>I12/G12</f>
        <v>1.5289745940754873</v>
      </c>
      <c r="K12" s="95"/>
      <c r="L12" s="95"/>
      <c r="M12" s="83">
        <f t="shared" si="1"/>
        <v>1567617.8200000003</v>
      </c>
      <c r="N12" s="80">
        <f t="shared" si="3"/>
        <v>0</v>
      </c>
      <c r="O12" s="95"/>
      <c r="P12" s="95"/>
    </row>
    <row r="13" spans="1:16" s="102" customFormat="1" x14ac:dyDescent="0.2">
      <c r="A13" s="97"/>
      <c r="B13" s="97"/>
      <c r="C13" s="98" t="s">
        <v>52</v>
      </c>
      <c r="D13" s="99" t="s">
        <v>72</v>
      </c>
      <c r="E13" s="100">
        <v>1071603.97</v>
      </c>
      <c r="F13" s="100">
        <f>G13-E13</f>
        <v>20915.620000000112</v>
      </c>
      <c r="G13" s="100">
        <v>1092519.5900000001</v>
      </c>
      <c r="H13" s="100">
        <f t="shared" ref="H13:H28" si="4">I13-G13</f>
        <v>784050</v>
      </c>
      <c r="I13" s="100">
        <v>1876569.59</v>
      </c>
      <c r="J13" s="140">
        <f t="shared" ref="J13:J28" si="5">I13/G13</f>
        <v>1.7176530354023216</v>
      </c>
      <c r="K13" s="101"/>
      <c r="L13" s="101"/>
      <c r="M13" s="83">
        <f t="shared" si="1"/>
        <v>1092519.5900000001</v>
      </c>
      <c r="N13" s="80">
        <f t="shared" si="3"/>
        <v>0</v>
      </c>
      <c r="O13" s="101"/>
      <c r="P13" s="101"/>
    </row>
    <row r="14" spans="1:16" s="102" customFormat="1" x14ac:dyDescent="0.2">
      <c r="A14" s="97"/>
      <c r="B14" s="97"/>
      <c r="C14" s="98" t="s">
        <v>59</v>
      </c>
      <c r="D14" s="51" t="s">
        <v>60</v>
      </c>
      <c r="E14" s="100">
        <v>151967.6</v>
      </c>
      <c r="F14" s="100">
        <f>G14-E14</f>
        <v>323130.63</v>
      </c>
      <c r="G14" s="100">
        <v>475098.23</v>
      </c>
      <c r="H14" s="100">
        <f t="shared" si="4"/>
        <v>45180</v>
      </c>
      <c r="I14" s="100">
        <v>520278.23</v>
      </c>
      <c r="J14" s="140">
        <f t="shared" si="5"/>
        <v>1.0950961235953247</v>
      </c>
      <c r="K14" s="101"/>
      <c r="L14" s="101"/>
      <c r="M14" s="83">
        <f t="shared" si="1"/>
        <v>475098.23</v>
      </c>
      <c r="N14" s="80">
        <f t="shared" si="3"/>
        <v>0</v>
      </c>
      <c r="O14" s="101"/>
      <c r="P14" s="101"/>
    </row>
    <row r="15" spans="1:16" s="96" customFormat="1" x14ac:dyDescent="0.2">
      <c r="A15" s="103"/>
      <c r="B15" s="103">
        <v>64</v>
      </c>
      <c r="C15" s="104"/>
      <c r="D15" s="105" t="s">
        <v>53</v>
      </c>
      <c r="E15" s="94">
        <f>E16</f>
        <v>132.72</v>
      </c>
      <c r="F15" s="94">
        <f t="shared" ref="F15:G15" si="6">F16</f>
        <v>-112.72</v>
      </c>
      <c r="G15" s="94">
        <f t="shared" si="6"/>
        <v>20</v>
      </c>
      <c r="H15" s="94">
        <f t="shared" si="4"/>
        <v>0</v>
      </c>
      <c r="I15" s="94">
        <f>SUM(I16)</f>
        <v>20</v>
      </c>
      <c r="J15" s="140">
        <f t="shared" si="5"/>
        <v>1</v>
      </c>
      <c r="K15" s="95"/>
      <c r="L15" s="95"/>
      <c r="M15" s="83">
        <f t="shared" si="1"/>
        <v>20</v>
      </c>
      <c r="N15" s="80">
        <f t="shared" si="3"/>
        <v>0</v>
      </c>
      <c r="O15" s="95"/>
      <c r="P15" s="95"/>
    </row>
    <row r="16" spans="1:16" s="102" customFormat="1" x14ac:dyDescent="0.2">
      <c r="A16" s="97"/>
      <c r="B16" s="97"/>
      <c r="C16" s="98" t="s">
        <v>61</v>
      </c>
      <c r="D16" s="97" t="s">
        <v>39</v>
      </c>
      <c r="E16" s="100">
        <v>132.72</v>
      </c>
      <c r="F16" s="100">
        <f>G16-E16</f>
        <v>-112.72</v>
      </c>
      <c r="G16" s="100">
        <v>20</v>
      </c>
      <c r="H16" s="100">
        <f t="shared" si="4"/>
        <v>0</v>
      </c>
      <c r="I16" s="100">
        <v>20</v>
      </c>
      <c r="J16" s="140">
        <f t="shared" si="5"/>
        <v>1</v>
      </c>
      <c r="K16" s="101"/>
      <c r="L16" s="101"/>
      <c r="M16" s="83">
        <f t="shared" si="1"/>
        <v>20</v>
      </c>
      <c r="N16" s="80">
        <f t="shared" si="3"/>
        <v>0</v>
      </c>
      <c r="O16" s="101"/>
      <c r="P16" s="101"/>
    </row>
    <row r="17" spans="1:16" s="96" customFormat="1" ht="45" x14ac:dyDescent="0.2">
      <c r="A17" s="103"/>
      <c r="B17" s="103">
        <v>65</v>
      </c>
      <c r="C17" s="103"/>
      <c r="D17" s="106" t="s">
        <v>63</v>
      </c>
      <c r="E17" s="94">
        <f>E18</f>
        <v>13272.28</v>
      </c>
      <c r="F17" s="94">
        <f t="shared" ref="F17:G17" si="7">F18</f>
        <v>5727.7199999999993</v>
      </c>
      <c r="G17" s="94">
        <f t="shared" si="7"/>
        <v>19000</v>
      </c>
      <c r="H17" s="94">
        <f t="shared" si="4"/>
        <v>0</v>
      </c>
      <c r="I17" s="94">
        <f>SUM(I18)</f>
        <v>19000</v>
      </c>
      <c r="J17" s="140">
        <f t="shared" si="5"/>
        <v>1</v>
      </c>
      <c r="K17" s="95"/>
      <c r="L17" s="95"/>
      <c r="M17" s="83">
        <f t="shared" si="1"/>
        <v>19000</v>
      </c>
      <c r="N17" s="80">
        <f t="shared" si="3"/>
        <v>0</v>
      </c>
      <c r="O17" s="95"/>
      <c r="P17" s="95"/>
    </row>
    <row r="18" spans="1:16" s="102" customFormat="1" ht="22.5" x14ac:dyDescent="0.2">
      <c r="A18" s="97"/>
      <c r="B18" s="103"/>
      <c r="C18" s="98" t="s">
        <v>54</v>
      </c>
      <c r="D18" s="107" t="s">
        <v>21</v>
      </c>
      <c r="E18" s="100">
        <v>13272.28</v>
      </c>
      <c r="F18" s="100">
        <f>G18-E18</f>
        <v>5727.7199999999993</v>
      </c>
      <c r="G18" s="100">
        <v>19000</v>
      </c>
      <c r="H18" s="100">
        <f t="shared" si="4"/>
        <v>0</v>
      </c>
      <c r="I18" s="100">
        <v>19000</v>
      </c>
      <c r="J18" s="140">
        <f t="shared" si="5"/>
        <v>1</v>
      </c>
      <c r="K18" s="101"/>
      <c r="L18" s="101"/>
      <c r="M18" s="83">
        <f t="shared" si="1"/>
        <v>19000</v>
      </c>
      <c r="N18" s="80">
        <f t="shared" si="3"/>
        <v>0</v>
      </c>
      <c r="O18" s="101"/>
      <c r="P18" s="101"/>
    </row>
    <row r="19" spans="1:16" s="96" customFormat="1" ht="45" x14ac:dyDescent="0.2">
      <c r="A19" s="103"/>
      <c r="B19" s="103">
        <v>66</v>
      </c>
      <c r="C19" s="104"/>
      <c r="D19" s="108" t="s">
        <v>62</v>
      </c>
      <c r="E19" s="94">
        <f>E20</f>
        <v>265445.61</v>
      </c>
      <c r="F19" s="94">
        <f>F20</f>
        <v>34554.390000000014</v>
      </c>
      <c r="G19" s="94">
        <f>G20</f>
        <v>300000</v>
      </c>
      <c r="H19" s="94">
        <f t="shared" si="4"/>
        <v>0</v>
      </c>
      <c r="I19" s="94">
        <f>SUM(I20)</f>
        <v>300000</v>
      </c>
      <c r="J19" s="140">
        <f t="shared" si="5"/>
        <v>1</v>
      </c>
      <c r="K19" s="95"/>
      <c r="L19" s="95"/>
      <c r="M19" s="83">
        <f t="shared" si="1"/>
        <v>300000</v>
      </c>
      <c r="N19" s="80">
        <f t="shared" si="3"/>
        <v>0</v>
      </c>
      <c r="O19" s="95"/>
      <c r="P19" s="95"/>
    </row>
    <row r="20" spans="1:16" s="102" customFormat="1" x14ac:dyDescent="0.2">
      <c r="A20" s="97"/>
      <c r="B20" s="103"/>
      <c r="C20" s="98" t="s">
        <v>61</v>
      </c>
      <c r="D20" s="97" t="s">
        <v>39</v>
      </c>
      <c r="E20" s="100">
        <v>265445.61</v>
      </c>
      <c r="F20" s="100">
        <f>G20-E20</f>
        <v>34554.390000000014</v>
      </c>
      <c r="G20" s="100">
        <v>300000</v>
      </c>
      <c r="H20" s="100">
        <f t="shared" si="4"/>
        <v>0</v>
      </c>
      <c r="I20" s="100">
        <v>300000</v>
      </c>
      <c r="J20" s="140">
        <f t="shared" si="5"/>
        <v>1</v>
      </c>
      <c r="K20" s="101"/>
      <c r="L20" s="101"/>
      <c r="M20" s="83">
        <f t="shared" si="1"/>
        <v>300000</v>
      </c>
      <c r="N20" s="80">
        <f t="shared" si="3"/>
        <v>0</v>
      </c>
      <c r="O20" s="101"/>
      <c r="P20" s="101"/>
    </row>
    <row r="21" spans="1:16" s="96" customFormat="1" ht="33.75" x14ac:dyDescent="0.2">
      <c r="A21" s="103"/>
      <c r="B21" s="103">
        <v>67</v>
      </c>
      <c r="C21" s="103"/>
      <c r="D21" s="93" t="s">
        <v>48</v>
      </c>
      <c r="E21" s="94">
        <f>E22+E23+E24+E26</f>
        <v>18087810.77</v>
      </c>
      <c r="F21" s="94">
        <f>F22+F23+F24+F26+F25</f>
        <v>615510.16000000131</v>
      </c>
      <c r="G21" s="94">
        <f>G22+G23+G24+G26+G25</f>
        <v>18703320.93</v>
      </c>
      <c r="H21" s="94">
        <f t="shared" si="4"/>
        <v>1028710</v>
      </c>
      <c r="I21" s="94">
        <f>SUM(I22:I26)</f>
        <v>19732030.93</v>
      </c>
      <c r="J21" s="140">
        <f t="shared" si="5"/>
        <v>1.0550014622456676</v>
      </c>
      <c r="K21" s="95"/>
      <c r="L21" s="95"/>
      <c r="M21" s="83">
        <f t="shared" si="1"/>
        <v>18703320.93</v>
      </c>
      <c r="N21" s="80">
        <f t="shared" si="3"/>
        <v>0</v>
      </c>
      <c r="O21" s="95"/>
      <c r="P21" s="95"/>
    </row>
    <row r="22" spans="1:16" s="102" customFormat="1" x14ac:dyDescent="0.2">
      <c r="A22" s="97"/>
      <c r="B22" s="97"/>
      <c r="C22" s="97" t="s">
        <v>64</v>
      </c>
      <c r="D22" s="109" t="s">
        <v>20</v>
      </c>
      <c r="E22" s="100">
        <v>1055241.8899999999</v>
      </c>
      <c r="F22" s="100">
        <f>G22-E22</f>
        <v>0</v>
      </c>
      <c r="G22" s="100">
        <v>1055241.8899999999</v>
      </c>
      <c r="H22" s="100">
        <f t="shared" si="4"/>
        <v>0</v>
      </c>
      <c r="I22" s="100">
        <v>1055241.8899999999</v>
      </c>
      <c r="J22" s="140">
        <f t="shared" si="5"/>
        <v>1</v>
      </c>
      <c r="K22" s="101"/>
      <c r="L22" s="101"/>
      <c r="M22" s="83">
        <f t="shared" si="1"/>
        <v>1055241.8899999999</v>
      </c>
      <c r="N22" s="80">
        <f t="shared" si="3"/>
        <v>0</v>
      </c>
      <c r="O22" s="101"/>
      <c r="P22" s="101"/>
    </row>
    <row r="23" spans="1:16" s="102" customFormat="1" ht="25.5" customHeight="1" x14ac:dyDescent="0.2">
      <c r="A23" s="97"/>
      <c r="B23" s="97"/>
      <c r="C23" s="97" t="s">
        <v>65</v>
      </c>
      <c r="D23" s="168" t="s">
        <v>66</v>
      </c>
      <c r="E23" s="100">
        <v>1656303.27</v>
      </c>
      <c r="F23" s="100">
        <f>G23-E23</f>
        <v>0.52000000001862645</v>
      </c>
      <c r="G23" s="100">
        <v>1656303.79</v>
      </c>
      <c r="H23" s="100">
        <f t="shared" si="4"/>
        <v>0</v>
      </c>
      <c r="I23" s="100">
        <v>1656303.79</v>
      </c>
      <c r="J23" s="140">
        <f t="shared" si="5"/>
        <v>1</v>
      </c>
      <c r="K23" s="101"/>
      <c r="L23" s="101"/>
      <c r="M23" s="83">
        <f t="shared" si="1"/>
        <v>1656303.79</v>
      </c>
      <c r="N23" s="80">
        <f t="shared" si="3"/>
        <v>0</v>
      </c>
      <c r="O23" s="101"/>
      <c r="P23" s="101"/>
    </row>
    <row r="24" spans="1:16" s="102" customFormat="1" x14ac:dyDescent="0.2">
      <c r="A24" s="97"/>
      <c r="B24" s="97"/>
      <c r="C24" s="97" t="s">
        <v>67</v>
      </c>
      <c r="D24" s="51" t="s">
        <v>56</v>
      </c>
      <c r="E24" s="100">
        <v>26530</v>
      </c>
      <c r="F24" s="100">
        <f>G24-E24</f>
        <v>0</v>
      </c>
      <c r="G24" s="100">
        <v>26530</v>
      </c>
      <c r="H24" s="100">
        <f t="shared" si="4"/>
        <v>0</v>
      </c>
      <c r="I24" s="100">
        <v>26530</v>
      </c>
      <c r="J24" s="140">
        <f t="shared" si="5"/>
        <v>1</v>
      </c>
      <c r="K24" s="101"/>
      <c r="L24" s="101"/>
      <c r="M24" s="83">
        <f t="shared" si="1"/>
        <v>26530</v>
      </c>
      <c r="N24" s="80">
        <f t="shared" si="3"/>
        <v>0</v>
      </c>
      <c r="O24" s="101"/>
      <c r="P24" s="101"/>
    </row>
    <row r="25" spans="1:16" s="102" customFormat="1" ht="22.5" customHeight="1" x14ac:dyDescent="0.2">
      <c r="A25" s="97"/>
      <c r="B25" s="97"/>
      <c r="C25" s="97" t="s">
        <v>128</v>
      </c>
      <c r="D25" s="168" t="s">
        <v>129</v>
      </c>
      <c r="E25" s="100"/>
      <c r="F25" s="100">
        <f>G25-E25</f>
        <v>13272.28</v>
      </c>
      <c r="G25" s="100">
        <v>13272.28</v>
      </c>
      <c r="H25" s="100">
        <f t="shared" si="4"/>
        <v>0</v>
      </c>
      <c r="I25" s="100">
        <v>13272.28</v>
      </c>
      <c r="J25" s="140">
        <f t="shared" si="5"/>
        <v>1</v>
      </c>
      <c r="K25" s="101"/>
      <c r="L25" s="101"/>
      <c r="M25" s="83">
        <f t="shared" si="1"/>
        <v>13272.28</v>
      </c>
      <c r="N25" s="80">
        <f t="shared" si="3"/>
        <v>0</v>
      </c>
      <c r="O25" s="101"/>
      <c r="P25" s="101"/>
    </row>
    <row r="26" spans="1:16" s="102" customFormat="1" ht="22.5" x14ac:dyDescent="0.2">
      <c r="A26" s="97"/>
      <c r="B26" s="97"/>
      <c r="C26" s="97" t="s">
        <v>55</v>
      </c>
      <c r="D26" s="110" t="s">
        <v>70</v>
      </c>
      <c r="E26" s="100">
        <v>15349735.609999999</v>
      </c>
      <c r="F26" s="100">
        <f>G26-E26</f>
        <v>602237.36000000127</v>
      </c>
      <c r="G26" s="100">
        <v>15951972.970000001</v>
      </c>
      <c r="H26" s="100">
        <f t="shared" si="4"/>
        <v>1028709.9999999981</v>
      </c>
      <c r="I26" s="100">
        <v>16980682.969999999</v>
      </c>
      <c r="J26" s="140">
        <f t="shared" si="5"/>
        <v>1.0644879477876898</v>
      </c>
      <c r="K26" s="101"/>
      <c r="L26" s="101"/>
      <c r="M26" s="83">
        <f t="shared" si="1"/>
        <v>15951972.970000001</v>
      </c>
      <c r="N26" s="80">
        <f t="shared" si="3"/>
        <v>0</v>
      </c>
      <c r="O26" s="101"/>
      <c r="P26" s="101"/>
    </row>
    <row r="27" spans="1:16" s="96" customFormat="1" ht="22.5" x14ac:dyDescent="0.2">
      <c r="A27" s="103"/>
      <c r="B27" s="103">
        <v>68</v>
      </c>
      <c r="C27" s="103"/>
      <c r="D27" s="111" t="s">
        <v>68</v>
      </c>
      <c r="E27" s="94">
        <f>E28</f>
        <v>1327.23</v>
      </c>
      <c r="F27" s="94">
        <f t="shared" ref="F27:G27" si="8">F28</f>
        <v>672.77</v>
      </c>
      <c r="G27" s="94">
        <f t="shared" si="8"/>
        <v>2000</v>
      </c>
      <c r="H27" s="94">
        <f t="shared" si="4"/>
        <v>0</v>
      </c>
      <c r="I27" s="94">
        <f>SUM(I28)</f>
        <v>2000</v>
      </c>
      <c r="J27" s="140">
        <f t="shared" si="5"/>
        <v>1</v>
      </c>
      <c r="K27" s="95"/>
      <c r="L27" s="95"/>
      <c r="M27" s="83">
        <f t="shared" si="1"/>
        <v>2000</v>
      </c>
      <c r="N27" s="80">
        <f t="shared" si="3"/>
        <v>0</v>
      </c>
      <c r="O27" s="95"/>
      <c r="P27" s="95"/>
    </row>
    <row r="28" spans="1:16" x14ac:dyDescent="0.2">
      <c r="A28" s="97"/>
      <c r="B28" s="97"/>
      <c r="C28" s="98" t="s">
        <v>61</v>
      </c>
      <c r="D28" s="97" t="s">
        <v>39</v>
      </c>
      <c r="E28" s="112">
        <v>1327.23</v>
      </c>
      <c r="F28" s="112">
        <f>G28-E28</f>
        <v>672.77</v>
      </c>
      <c r="G28" s="112">
        <v>2000</v>
      </c>
      <c r="H28" s="100">
        <f t="shared" si="4"/>
        <v>0</v>
      </c>
      <c r="I28" s="112">
        <v>2000</v>
      </c>
      <c r="J28" s="140">
        <f t="shared" si="5"/>
        <v>1</v>
      </c>
      <c r="M28" s="83">
        <f t="shared" si="1"/>
        <v>2000</v>
      </c>
      <c r="N28" s="80">
        <f t="shared" si="3"/>
        <v>0</v>
      </c>
    </row>
    <row r="29" spans="1:16" s="92" customFormat="1" ht="22.5" x14ac:dyDescent="0.2">
      <c r="A29" s="113">
        <v>7</v>
      </c>
      <c r="B29" s="113"/>
      <c r="C29" s="113"/>
      <c r="D29" s="114" t="s">
        <v>21</v>
      </c>
      <c r="E29" s="90">
        <f>E30</f>
        <v>265.45</v>
      </c>
      <c r="F29" s="90">
        <f t="shared" ref="F29:G29" si="9">F30</f>
        <v>10034.549999999999</v>
      </c>
      <c r="G29" s="90">
        <f t="shared" si="9"/>
        <v>10300</v>
      </c>
      <c r="H29" s="90">
        <f>I29-G29</f>
        <v>0</v>
      </c>
      <c r="I29" s="90">
        <f>SUM(I30)</f>
        <v>10300</v>
      </c>
      <c r="J29" s="139">
        <f>I29/G29</f>
        <v>1</v>
      </c>
      <c r="K29" s="91"/>
      <c r="L29" s="91"/>
      <c r="M29" s="83">
        <f t="shared" si="1"/>
        <v>10300</v>
      </c>
      <c r="N29" s="80">
        <f t="shared" si="3"/>
        <v>0</v>
      </c>
      <c r="O29" s="91"/>
      <c r="P29" s="91"/>
    </row>
    <row r="30" spans="1:16" s="92" customFormat="1" ht="33.75" x14ac:dyDescent="0.2">
      <c r="A30" s="93"/>
      <c r="B30" s="93">
        <v>72</v>
      </c>
      <c r="C30" s="93"/>
      <c r="D30" s="115" t="s">
        <v>46</v>
      </c>
      <c r="E30" s="116">
        <f>E31</f>
        <v>265.45</v>
      </c>
      <c r="F30" s="116">
        <f t="shared" ref="F30:G30" si="10">F31</f>
        <v>10034.549999999999</v>
      </c>
      <c r="G30" s="116">
        <f t="shared" si="10"/>
        <v>10300</v>
      </c>
      <c r="H30" s="116">
        <f>I30-G30</f>
        <v>0</v>
      </c>
      <c r="I30" s="116">
        <f>SUM(I31)</f>
        <v>10300</v>
      </c>
      <c r="J30" s="140">
        <f>I30/G30</f>
        <v>1</v>
      </c>
      <c r="K30" s="91"/>
      <c r="L30" s="91"/>
      <c r="M30" s="83">
        <f t="shared" si="1"/>
        <v>10300</v>
      </c>
      <c r="N30" s="80">
        <f t="shared" si="3"/>
        <v>0</v>
      </c>
      <c r="O30" s="91"/>
      <c r="P30" s="91"/>
    </row>
    <row r="31" spans="1:16" ht="22.5" x14ac:dyDescent="0.2">
      <c r="A31" s="117"/>
      <c r="B31" s="117"/>
      <c r="C31" s="98" t="s">
        <v>54</v>
      </c>
      <c r="D31" s="107" t="s">
        <v>21</v>
      </c>
      <c r="E31" s="112">
        <v>265.45</v>
      </c>
      <c r="F31" s="112">
        <f>G31-E31</f>
        <v>10034.549999999999</v>
      </c>
      <c r="G31" s="118">
        <v>10300</v>
      </c>
      <c r="H31" s="112">
        <f>I31-G31</f>
        <v>0</v>
      </c>
      <c r="I31" s="118">
        <v>10300</v>
      </c>
      <c r="J31" s="140">
        <f>I31/G31</f>
        <v>1</v>
      </c>
      <c r="M31" s="83">
        <f t="shared" si="1"/>
        <v>10300</v>
      </c>
      <c r="N31" s="80">
        <f t="shared" si="3"/>
        <v>0</v>
      </c>
    </row>
    <row r="32" spans="1:16" x14ac:dyDescent="0.2">
      <c r="M32" s="83">
        <f t="shared" si="1"/>
        <v>0</v>
      </c>
      <c r="N32" s="80">
        <f t="shared" si="3"/>
        <v>0</v>
      </c>
    </row>
    <row r="33" spans="1:16" ht="11.25" customHeight="1" x14ac:dyDescent="0.2">
      <c r="A33" s="204" t="s">
        <v>22</v>
      </c>
      <c r="B33" s="204"/>
      <c r="C33" s="204"/>
      <c r="D33" s="204"/>
      <c r="E33" s="204"/>
      <c r="F33" s="204"/>
      <c r="G33" s="204"/>
      <c r="H33" s="204"/>
      <c r="I33" s="204"/>
      <c r="J33" s="204"/>
      <c r="M33" s="83">
        <f t="shared" si="1"/>
        <v>0</v>
      </c>
      <c r="N33" s="80">
        <f t="shared" si="3"/>
        <v>0</v>
      </c>
    </row>
    <row r="34" spans="1:16" x14ac:dyDescent="0.2">
      <c r="A34" s="78"/>
      <c r="B34" s="78"/>
      <c r="C34" s="78"/>
      <c r="D34" s="78"/>
      <c r="E34" s="86"/>
      <c r="F34" s="86"/>
      <c r="G34" s="86"/>
      <c r="H34" s="86"/>
      <c r="I34" s="86"/>
      <c r="M34" s="83">
        <f t="shared" si="1"/>
        <v>0</v>
      </c>
      <c r="N34" s="80">
        <f t="shared" si="3"/>
        <v>0</v>
      </c>
    </row>
    <row r="35" spans="1:16" ht="22.5" x14ac:dyDescent="0.2">
      <c r="A35" s="87" t="s">
        <v>16</v>
      </c>
      <c r="B35" s="88" t="s">
        <v>17</v>
      </c>
      <c r="C35" s="88" t="s">
        <v>18</v>
      </c>
      <c r="D35" s="88" t="s">
        <v>23</v>
      </c>
      <c r="E35" s="87" t="s">
        <v>45</v>
      </c>
      <c r="F35" s="87" t="s">
        <v>126</v>
      </c>
      <c r="G35" s="87" t="s">
        <v>127</v>
      </c>
      <c r="H35" s="87"/>
      <c r="I35" s="87"/>
      <c r="J35" s="141" t="s">
        <v>130</v>
      </c>
      <c r="M35" s="83" t="e">
        <f t="shared" si="1"/>
        <v>#VALUE!</v>
      </c>
      <c r="N35" s="80" t="e">
        <f t="shared" si="3"/>
        <v>#VALUE!</v>
      </c>
    </row>
    <row r="36" spans="1:16" ht="23.25" customHeight="1" x14ac:dyDescent="0.2">
      <c r="A36" s="199" t="s">
        <v>71</v>
      </c>
      <c r="B36" s="200"/>
      <c r="C36" s="201"/>
      <c r="D36" s="135"/>
      <c r="E36" s="137">
        <f>E37+E56</f>
        <v>19591825.629999999</v>
      </c>
      <c r="F36" s="137">
        <f>F37+F56</f>
        <v>969382.6400000006</v>
      </c>
      <c r="G36" s="137">
        <f>G37+G56</f>
        <v>20561208.27</v>
      </c>
      <c r="H36" s="137">
        <f>I36-G36</f>
        <v>1857940.0000000037</v>
      </c>
      <c r="I36" s="137">
        <f>SUM(I37,I56)</f>
        <v>22419148.270000003</v>
      </c>
      <c r="J36" s="138">
        <f>I36/G36</f>
        <v>1.0903614211578629</v>
      </c>
      <c r="M36" s="83">
        <f t="shared" si="1"/>
        <v>20561208.27</v>
      </c>
      <c r="N36" s="80">
        <f t="shared" si="3"/>
        <v>0</v>
      </c>
    </row>
    <row r="37" spans="1:16" s="92" customFormat="1" ht="24.75" customHeight="1" x14ac:dyDescent="0.2">
      <c r="A37" s="89">
        <v>3</v>
      </c>
      <c r="B37" s="89"/>
      <c r="C37" s="89"/>
      <c r="D37" s="89" t="s">
        <v>24</v>
      </c>
      <c r="E37" s="119">
        <f>E38+E44+E53</f>
        <v>18338428.579999998</v>
      </c>
      <c r="F37" s="119">
        <f>F38+F44+F53</f>
        <v>915011.42000000062</v>
      </c>
      <c r="G37" s="119">
        <f>G38+G44+G53</f>
        <v>19253440</v>
      </c>
      <c r="H37" s="119">
        <f>I37-G37</f>
        <v>1840835.6000000015</v>
      </c>
      <c r="I37" s="119">
        <f>SUM(I38,I44,I53)</f>
        <v>21094275.600000001</v>
      </c>
      <c r="J37" s="139">
        <f>I37/G37</f>
        <v>1.0956107376136421</v>
      </c>
      <c r="K37" s="91"/>
      <c r="L37" s="91"/>
      <c r="M37" s="83">
        <f t="shared" si="1"/>
        <v>19253440</v>
      </c>
      <c r="N37" s="80">
        <f t="shared" si="3"/>
        <v>0</v>
      </c>
      <c r="O37" s="91"/>
      <c r="P37" s="91"/>
    </row>
    <row r="38" spans="1:16" s="92" customFormat="1" ht="15.75" customHeight="1" x14ac:dyDescent="0.2">
      <c r="A38" s="93"/>
      <c r="B38" s="93">
        <v>31</v>
      </c>
      <c r="C38" s="93"/>
      <c r="D38" s="93" t="s">
        <v>25</v>
      </c>
      <c r="E38" s="120">
        <f>SUM(E39:E43)</f>
        <v>14702236.379999999</v>
      </c>
      <c r="F38" s="94">
        <f>SUM(F39:F43)</f>
        <v>955663.62000000046</v>
      </c>
      <c r="G38" s="94">
        <f>SUM(G39:G43)</f>
        <v>15657900</v>
      </c>
      <c r="H38" s="94">
        <f>I38-G38</f>
        <v>1739100</v>
      </c>
      <c r="I38" s="94">
        <f>SUM(I39:I43)</f>
        <v>17397000</v>
      </c>
      <c r="J38" s="140">
        <f>I38/G38</f>
        <v>1.1110685340946105</v>
      </c>
      <c r="K38" s="91"/>
      <c r="L38" s="91"/>
      <c r="M38" s="83">
        <f t="shared" si="1"/>
        <v>15657900</v>
      </c>
      <c r="N38" s="80">
        <f t="shared" si="3"/>
        <v>0</v>
      </c>
      <c r="O38" s="91"/>
      <c r="P38" s="91"/>
    </row>
    <row r="39" spans="1:16" x14ac:dyDescent="0.2">
      <c r="A39" s="97"/>
      <c r="B39" s="97"/>
      <c r="C39" s="97" t="s">
        <v>64</v>
      </c>
      <c r="D39" s="109" t="s">
        <v>20</v>
      </c>
      <c r="E39" s="121">
        <f>638529.43+91578.74+12608.67</f>
        <v>742716.84000000008</v>
      </c>
      <c r="F39" s="100">
        <f>G39-E39</f>
        <v>14657.479999999981</v>
      </c>
      <c r="G39" s="100">
        <f>653186.91+91578.74+12608.67</f>
        <v>757374.32000000007</v>
      </c>
      <c r="H39" s="100">
        <f t="shared" ref="H39:H55" si="11">I39-G39</f>
        <v>0</v>
      </c>
      <c r="I39" s="100">
        <v>757374.32</v>
      </c>
      <c r="J39" s="140">
        <f t="shared" ref="J39:J55" si="12">I39/G39</f>
        <v>0.99999999999999989</v>
      </c>
      <c r="M39" s="83">
        <f t="shared" si="1"/>
        <v>757374.32000000007</v>
      </c>
      <c r="N39" s="80">
        <f t="shared" si="3"/>
        <v>0</v>
      </c>
    </row>
    <row r="40" spans="1:16" x14ac:dyDescent="0.2">
      <c r="A40" s="97"/>
      <c r="B40" s="97"/>
      <c r="C40" s="98" t="s">
        <v>61</v>
      </c>
      <c r="D40" s="97" t="s">
        <v>39</v>
      </c>
      <c r="E40" s="121">
        <f>92109.63+6105.25</f>
        <v>98214.88</v>
      </c>
      <c r="F40" s="100">
        <f>G40-E40</f>
        <v>45715.119999999995</v>
      </c>
      <c r="G40" s="100">
        <f>141930+2000</f>
        <v>143930</v>
      </c>
      <c r="H40" s="100">
        <f t="shared" si="11"/>
        <v>0</v>
      </c>
      <c r="I40" s="100">
        <v>143930</v>
      </c>
      <c r="J40" s="140">
        <f t="shared" si="12"/>
        <v>1</v>
      </c>
      <c r="M40" s="83">
        <f t="shared" si="1"/>
        <v>143930</v>
      </c>
      <c r="N40" s="80">
        <f t="shared" si="3"/>
        <v>0</v>
      </c>
    </row>
    <row r="41" spans="1:16" ht="22.5" x14ac:dyDescent="0.2">
      <c r="A41" s="97"/>
      <c r="B41" s="97"/>
      <c r="C41" s="97" t="s">
        <v>55</v>
      </c>
      <c r="D41" s="110" t="s">
        <v>70</v>
      </c>
      <c r="E41" s="121">
        <f>12484836.42+267436.45</f>
        <v>12752272.869999999</v>
      </c>
      <c r="F41" s="100">
        <f>G41-E41</f>
        <v>657902.81000000052</v>
      </c>
      <c r="G41" s="100">
        <f>13128175.68+282000</f>
        <v>13410175.68</v>
      </c>
      <c r="H41" s="100">
        <f t="shared" si="11"/>
        <v>984890</v>
      </c>
      <c r="I41" s="100">
        <v>14395065.68</v>
      </c>
      <c r="J41" s="140">
        <f t="shared" si="12"/>
        <v>1.0734434822855357</v>
      </c>
      <c r="M41" s="83">
        <f t="shared" si="1"/>
        <v>13410175.68</v>
      </c>
      <c r="N41" s="80">
        <f t="shared" si="3"/>
        <v>0</v>
      </c>
    </row>
    <row r="42" spans="1:16" x14ac:dyDescent="0.2">
      <c r="A42" s="97"/>
      <c r="B42" s="97"/>
      <c r="C42" s="98" t="s">
        <v>52</v>
      </c>
      <c r="D42" s="99" t="s">
        <v>72</v>
      </c>
      <c r="E42" s="121">
        <f>281637.8+70873.98+23226.5+601632.49</f>
        <v>977370.77</v>
      </c>
      <c r="F42" s="100">
        <f>G42-E42</f>
        <v>51139.229999999981</v>
      </c>
      <c r="G42" s="100">
        <f>293040+75380+8590+651500</f>
        <v>1028510</v>
      </c>
      <c r="H42" s="100">
        <f t="shared" si="11"/>
        <v>667750</v>
      </c>
      <c r="I42" s="100">
        <v>1696260</v>
      </c>
      <c r="J42" s="140">
        <f t="shared" si="12"/>
        <v>1.6492401629541764</v>
      </c>
      <c r="M42" s="83">
        <f t="shared" ref="M42:M65" si="13">E42+F42</f>
        <v>1028510</v>
      </c>
      <c r="N42" s="80">
        <f t="shared" si="3"/>
        <v>0</v>
      </c>
    </row>
    <row r="43" spans="1:16" x14ac:dyDescent="0.2">
      <c r="A43" s="97"/>
      <c r="B43" s="97"/>
      <c r="C43" s="98" t="s">
        <v>59</v>
      </c>
      <c r="D43" s="174" t="s">
        <v>60</v>
      </c>
      <c r="E43" s="121">
        <v>131661.01999999999</v>
      </c>
      <c r="F43" s="100">
        <f>G43-E43</f>
        <v>186248.98</v>
      </c>
      <c r="G43" s="100">
        <f>48690+221230+47990</f>
        <v>317910</v>
      </c>
      <c r="H43" s="100">
        <f t="shared" si="11"/>
        <v>86460</v>
      </c>
      <c r="I43" s="100">
        <v>404370</v>
      </c>
      <c r="J43" s="140">
        <f t="shared" si="12"/>
        <v>1.2719637633292442</v>
      </c>
      <c r="M43" s="83">
        <f t="shared" si="13"/>
        <v>317910</v>
      </c>
      <c r="N43" s="80">
        <f t="shared" si="3"/>
        <v>0</v>
      </c>
    </row>
    <row r="44" spans="1:16" s="92" customFormat="1" x14ac:dyDescent="0.2">
      <c r="A44" s="103"/>
      <c r="B44" s="103">
        <v>32</v>
      </c>
      <c r="C44" s="103"/>
      <c r="D44" s="103" t="s">
        <v>35</v>
      </c>
      <c r="E44" s="120">
        <f>SUM(E45:E52)</f>
        <v>3581775.8499999996</v>
      </c>
      <c r="F44" s="94">
        <f>SUM(F45:F52)</f>
        <v>-25775.84999999986</v>
      </c>
      <c r="G44" s="94">
        <f t="shared" ref="G44" si="14">SUM(G45:G52)</f>
        <v>3556000</v>
      </c>
      <c r="H44" s="94">
        <f t="shared" si="11"/>
        <v>82040</v>
      </c>
      <c r="I44" s="94">
        <f>SUM(I45:I52)</f>
        <v>3638040</v>
      </c>
      <c r="J44" s="140">
        <f t="shared" si="12"/>
        <v>1.0230708661417323</v>
      </c>
      <c r="K44" s="91"/>
      <c r="L44" s="91"/>
      <c r="M44" s="83">
        <f t="shared" si="13"/>
        <v>3556000</v>
      </c>
      <c r="N44" s="80">
        <f t="shared" si="3"/>
        <v>0</v>
      </c>
      <c r="O44" s="91"/>
      <c r="P44" s="91"/>
    </row>
    <row r="45" spans="1:16" x14ac:dyDescent="0.2">
      <c r="A45" s="97"/>
      <c r="B45" s="97"/>
      <c r="C45" s="97" t="s">
        <v>64</v>
      </c>
      <c r="D45" s="109" t="s">
        <v>20</v>
      </c>
      <c r="E45" s="121">
        <f>83084.48+4247.13+663.61</f>
        <v>87995.22</v>
      </c>
      <c r="F45" s="100">
        <f t="shared" ref="F45:F52" si="15">G45-E45</f>
        <v>-14657.479999999996</v>
      </c>
      <c r="G45" s="100">
        <f>68427+4247.13+663.61</f>
        <v>73337.740000000005</v>
      </c>
      <c r="H45" s="100">
        <f t="shared" si="11"/>
        <v>0</v>
      </c>
      <c r="I45" s="100">
        <v>73337.740000000005</v>
      </c>
      <c r="J45" s="140">
        <f t="shared" si="12"/>
        <v>1</v>
      </c>
      <c r="M45" s="83">
        <f t="shared" si="13"/>
        <v>73337.740000000005</v>
      </c>
      <c r="N45" s="80">
        <f t="shared" si="3"/>
        <v>0</v>
      </c>
    </row>
    <row r="46" spans="1:16" x14ac:dyDescent="0.2">
      <c r="A46" s="97"/>
      <c r="B46" s="103"/>
      <c r="C46" s="98" t="s">
        <v>61</v>
      </c>
      <c r="D46" s="97" t="s">
        <v>39</v>
      </c>
      <c r="E46" s="121">
        <f>99674.83+17253.96</f>
        <v>116928.79000000001</v>
      </c>
      <c r="F46" s="100">
        <f t="shared" si="15"/>
        <v>-1652.8300000000017</v>
      </c>
      <c r="G46" s="100">
        <f>105275.96+10000</f>
        <v>115275.96</v>
      </c>
      <c r="H46" s="100">
        <f t="shared" si="11"/>
        <v>0</v>
      </c>
      <c r="I46" s="100">
        <v>115275.96</v>
      </c>
      <c r="J46" s="140">
        <f t="shared" si="12"/>
        <v>1</v>
      </c>
      <c r="M46" s="83">
        <f t="shared" si="13"/>
        <v>115275.96</v>
      </c>
      <c r="N46" s="80">
        <f t="shared" si="3"/>
        <v>0</v>
      </c>
    </row>
    <row r="47" spans="1:16" s="125" customFormat="1" x14ac:dyDescent="0.2">
      <c r="A47" s="122"/>
      <c r="B47" s="123"/>
      <c r="C47" s="97" t="s">
        <v>67</v>
      </c>
      <c r="D47" s="51" t="s">
        <v>56</v>
      </c>
      <c r="E47" s="121">
        <v>26530</v>
      </c>
      <c r="F47" s="100">
        <f t="shared" si="15"/>
        <v>0</v>
      </c>
      <c r="G47" s="100">
        <v>26530</v>
      </c>
      <c r="H47" s="100">
        <f t="shared" si="11"/>
        <v>0</v>
      </c>
      <c r="I47" s="100">
        <v>26530</v>
      </c>
      <c r="J47" s="140">
        <f t="shared" si="12"/>
        <v>1</v>
      </c>
      <c r="K47" s="124"/>
      <c r="L47" s="124"/>
      <c r="M47" s="83">
        <f t="shared" si="13"/>
        <v>26530</v>
      </c>
      <c r="N47" s="80">
        <f t="shared" si="3"/>
        <v>0</v>
      </c>
      <c r="O47" s="124"/>
      <c r="P47" s="124"/>
    </row>
    <row r="48" spans="1:16" ht="28.5" customHeight="1" x14ac:dyDescent="0.2">
      <c r="A48" s="97"/>
      <c r="B48" s="103"/>
      <c r="C48" s="97" t="s">
        <v>65</v>
      </c>
      <c r="D48" s="168" t="s">
        <v>66</v>
      </c>
      <c r="E48" s="121">
        <v>640973.78</v>
      </c>
      <c r="F48" s="100">
        <f t="shared" si="15"/>
        <v>-29862.109999999986</v>
      </c>
      <c r="G48" s="100">
        <v>611111.67000000004</v>
      </c>
      <c r="H48" s="100">
        <f t="shared" si="11"/>
        <v>0</v>
      </c>
      <c r="I48" s="100">
        <v>611111.67000000004</v>
      </c>
      <c r="J48" s="140">
        <f t="shared" si="12"/>
        <v>1</v>
      </c>
      <c r="M48" s="83">
        <f t="shared" si="13"/>
        <v>611111.67000000004</v>
      </c>
      <c r="N48" s="80">
        <f t="shared" si="3"/>
        <v>0</v>
      </c>
    </row>
    <row r="49" spans="1:16" ht="22.5" x14ac:dyDescent="0.2">
      <c r="A49" s="97"/>
      <c r="B49" s="103"/>
      <c r="C49" s="97" t="s">
        <v>55</v>
      </c>
      <c r="D49" s="110" t="s">
        <v>70</v>
      </c>
      <c r="E49" s="121">
        <f>2585517.69+11945.05</f>
        <v>2597462.7399999998</v>
      </c>
      <c r="F49" s="100">
        <f t="shared" si="15"/>
        <v>-80188.10999999987</v>
      </c>
      <c r="G49" s="100">
        <f>2505274.63+12000</f>
        <v>2517274.63</v>
      </c>
      <c r="H49" s="100">
        <f t="shared" si="11"/>
        <v>43820</v>
      </c>
      <c r="I49" s="100">
        <v>2561094.63</v>
      </c>
      <c r="J49" s="140">
        <f t="shared" si="12"/>
        <v>1.0174077152638685</v>
      </c>
      <c r="M49" s="83">
        <f t="shared" si="13"/>
        <v>2517274.63</v>
      </c>
      <c r="N49" s="80">
        <f t="shared" si="3"/>
        <v>0</v>
      </c>
    </row>
    <row r="50" spans="1:16" x14ac:dyDescent="0.2">
      <c r="A50" s="97"/>
      <c r="B50" s="103"/>
      <c r="C50" s="98" t="s">
        <v>52</v>
      </c>
      <c r="D50" s="99" t="s">
        <v>72</v>
      </c>
      <c r="E50" s="121">
        <f>69414.03+5308.91+3583.52</f>
        <v>78306.460000000006</v>
      </c>
      <c r="F50" s="100">
        <f t="shared" si="15"/>
        <v>47513.539999999994</v>
      </c>
      <c r="G50" s="100">
        <f>28960+5000+11490+80370</f>
        <v>125820</v>
      </c>
      <c r="H50" s="100">
        <f t="shared" si="11"/>
        <v>-870</v>
      </c>
      <c r="I50" s="100">
        <v>124950</v>
      </c>
      <c r="J50" s="140">
        <f t="shared" si="12"/>
        <v>0.99308536003814973</v>
      </c>
      <c r="M50" s="83">
        <f t="shared" si="13"/>
        <v>125820</v>
      </c>
      <c r="N50" s="80">
        <f t="shared" si="3"/>
        <v>0</v>
      </c>
    </row>
    <row r="51" spans="1:16" x14ac:dyDescent="0.2">
      <c r="A51" s="97"/>
      <c r="B51" s="103"/>
      <c r="C51" s="98" t="s">
        <v>59</v>
      </c>
      <c r="D51" s="51" t="s">
        <v>60</v>
      </c>
      <c r="E51" s="121">
        <v>20306.580000000002</v>
      </c>
      <c r="F51" s="100">
        <f t="shared" si="15"/>
        <v>47343.42</v>
      </c>
      <c r="G51" s="100">
        <f>65130+2520</f>
        <v>67650</v>
      </c>
      <c r="H51" s="100">
        <f t="shared" si="11"/>
        <v>39090</v>
      </c>
      <c r="I51" s="100">
        <v>106740</v>
      </c>
      <c r="J51" s="140">
        <f t="shared" si="12"/>
        <v>1.5778270509977828</v>
      </c>
      <c r="M51" s="83">
        <f t="shared" si="13"/>
        <v>67650</v>
      </c>
      <c r="N51" s="80">
        <f t="shared" si="3"/>
        <v>0</v>
      </c>
    </row>
    <row r="52" spans="1:16" ht="22.5" x14ac:dyDescent="0.2">
      <c r="A52" s="97"/>
      <c r="B52" s="103"/>
      <c r="C52" s="98" t="s">
        <v>54</v>
      </c>
      <c r="D52" s="107" t="s">
        <v>21</v>
      </c>
      <c r="E52" s="121">
        <v>13272.28</v>
      </c>
      <c r="F52" s="100">
        <f t="shared" si="15"/>
        <v>5727.7199999999993</v>
      </c>
      <c r="G52" s="100">
        <v>19000</v>
      </c>
      <c r="H52" s="100">
        <f t="shared" si="11"/>
        <v>0</v>
      </c>
      <c r="I52" s="100">
        <v>19000</v>
      </c>
      <c r="J52" s="140">
        <f t="shared" si="12"/>
        <v>1</v>
      </c>
      <c r="M52" s="83">
        <f t="shared" si="13"/>
        <v>19000</v>
      </c>
      <c r="N52" s="80">
        <f t="shared" si="3"/>
        <v>0</v>
      </c>
    </row>
    <row r="53" spans="1:16" s="92" customFormat="1" x14ac:dyDescent="0.2">
      <c r="A53" s="103"/>
      <c r="B53" s="103">
        <v>34</v>
      </c>
      <c r="C53" s="104"/>
      <c r="D53" s="106" t="s">
        <v>73</v>
      </c>
      <c r="E53" s="120">
        <f>E54+E55</f>
        <v>54416.35</v>
      </c>
      <c r="F53" s="94">
        <f>F54+F55</f>
        <v>-14876.35</v>
      </c>
      <c r="G53" s="94">
        <f t="shared" ref="G53" si="16">G54+G55</f>
        <v>39540</v>
      </c>
      <c r="H53" s="94">
        <f t="shared" si="11"/>
        <v>19695.599999999999</v>
      </c>
      <c r="I53" s="94">
        <f>SUM(I54:I55)</f>
        <v>59235.6</v>
      </c>
      <c r="J53" s="140">
        <f t="shared" si="12"/>
        <v>1.4981183611532625</v>
      </c>
      <c r="K53" s="170"/>
      <c r="L53" s="91"/>
      <c r="M53" s="83">
        <f t="shared" si="13"/>
        <v>39540</v>
      </c>
      <c r="N53" s="80">
        <f t="shared" si="3"/>
        <v>0</v>
      </c>
      <c r="O53" s="91"/>
      <c r="P53" s="91"/>
    </row>
    <row r="54" spans="1:16" x14ac:dyDescent="0.2">
      <c r="A54" s="97"/>
      <c r="B54" s="103"/>
      <c r="C54" s="98" t="s">
        <v>61</v>
      </c>
      <c r="D54" s="97" t="s">
        <v>39</v>
      </c>
      <c r="E54" s="121">
        <v>38489.61</v>
      </c>
      <c r="F54" s="100">
        <f>G54-E54</f>
        <v>-10149.61</v>
      </c>
      <c r="G54" s="100">
        <v>28340</v>
      </c>
      <c r="H54" s="100">
        <f t="shared" si="11"/>
        <v>-17104.400000000001</v>
      </c>
      <c r="I54" s="100">
        <v>11235.6</v>
      </c>
      <c r="J54" s="140">
        <f t="shared" si="12"/>
        <v>0.39645730416372621</v>
      </c>
      <c r="M54" s="83">
        <f t="shared" si="13"/>
        <v>28340</v>
      </c>
      <c r="N54" s="80">
        <f t="shared" si="3"/>
        <v>0</v>
      </c>
    </row>
    <row r="55" spans="1:16" x14ac:dyDescent="0.2">
      <c r="A55" s="97"/>
      <c r="B55" s="103"/>
      <c r="C55" s="98" t="s">
        <v>52</v>
      </c>
      <c r="D55" s="99" t="s">
        <v>72</v>
      </c>
      <c r="E55" s="121">
        <v>15926.74</v>
      </c>
      <c r="F55" s="100">
        <f>G55-E55</f>
        <v>-4726.74</v>
      </c>
      <c r="G55" s="100">
        <v>11200</v>
      </c>
      <c r="H55" s="100">
        <f t="shared" si="11"/>
        <v>36800</v>
      </c>
      <c r="I55" s="100">
        <v>48000</v>
      </c>
      <c r="J55" s="140">
        <f t="shared" si="12"/>
        <v>4.2857142857142856</v>
      </c>
      <c r="M55" s="83">
        <f t="shared" si="13"/>
        <v>11200</v>
      </c>
      <c r="N55" s="80">
        <f t="shared" si="3"/>
        <v>0</v>
      </c>
    </row>
    <row r="56" spans="1:16" s="92" customFormat="1" ht="22.5" x14ac:dyDescent="0.2">
      <c r="A56" s="113">
        <v>4</v>
      </c>
      <c r="B56" s="113"/>
      <c r="C56" s="113"/>
      <c r="D56" s="114" t="s">
        <v>26</v>
      </c>
      <c r="E56" s="119">
        <f>E57+E60</f>
        <v>1253397.05</v>
      </c>
      <c r="F56" s="119">
        <f t="shared" ref="F56" si="17">F57+F60</f>
        <v>54371.220000000008</v>
      </c>
      <c r="G56" s="119">
        <f>G57+G60</f>
        <v>1307768.27</v>
      </c>
      <c r="H56" s="119">
        <f>I56-G56</f>
        <v>17104.399999999907</v>
      </c>
      <c r="I56" s="119">
        <f>SUM(I57,I60)</f>
        <v>1324872.67</v>
      </c>
      <c r="J56" s="139">
        <f>I56/G56</f>
        <v>1.0130790755460062</v>
      </c>
      <c r="K56" s="91"/>
      <c r="L56" s="91"/>
      <c r="M56" s="83">
        <f t="shared" si="13"/>
        <v>1307768.27</v>
      </c>
      <c r="N56" s="80">
        <f t="shared" si="3"/>
        <v>0</v>
      </c>
      <c r="O56" s="91"/>
      <c r="P56" s="91"/>
    </row>
    <row r="57" spans="1:16" s="92" customFormat="1" ht="33.75" x14ac:dyDescent="0.2">
      <c r="A57" s="93"/>
      <c r="B57" s="93">
        <v>41</v>
      </c>
      <c r="C57" s="93"/>
      <c r="D57" s="115" t="s">
        <v>27</v>
      </c>
      <c r="E57" s="120">
        <f>E58+E59</f>
        <v>240228.29</v>
      </c>
      <c r="F57" s="94">
        <f t="shared" ref="F57" si="18">F58+F59</f>
        <v>29861.710000000006</v>
      </c>
      <c r="G57" s="94">
        <f>G58+G59</f>
        <v>270090</v>
      </c>
      <c r="H57" s="94">
        <f>I57-G57</f>
        <v>-29447.869999999995</v>
      </c>
      <c r="I57" s="94">
        <f>SUM(I58:I59)</f>
        <v>240642.13</v>
      </c>
      <c r="J57" s="140">
        <f>I57/G57</f>
        <v>0.89097015809544966</v>
      </c>
      <c r="K57" s="91"/>
      <c r="L57" s="91"/>
      <c r="M57" s="83">
        <f t="shared" si="13"/>
        <v>270090</v>
      </c>
      <c r="N57" s="80">
        <f t="shared" si="3"/>
        <v>0</v>
      </c>
      <c r="O57" s="91"/>
      <c r="P57" s="91"/>
    </row>
    <row r="58" spans="1:16" x14ac:dyDescent="0.2">
      <c r="A58" s="117"/>
      <c r="B58" s="117"/>
      <c r="C58" s="98" t="s">
        <v>61</v>
      </c>
      <c r="D58" s="97" t="s">
        <v>39</v>
      </c>
      <c r="E58" s="121">
        <v>1327.23</v>
      </c>
      <c r="F58" s="100">
        <f>G58-E58</f>
        <v>-0.92000000000007276</v>
      </c>
      <c r="G58" s="126">
        <v>1326.31</v>
      </c>
      <c r="H58" s="100">
        <f t="shared" ref="H58:H65" si="19">I58-G58</f>
        <v>0</v>
      </c>
      <c r="I58" s="126">
        <v>1326.31</v>
      </c>
      <c r="J58" s="140">
        <f t="shared" ref="J58:J65" si="20">I58/G58</f>
        <v>1</v>
      </c>
      <c r="M58" s="83">
        <f t="shared" si="13"/>
        <v>1326.31</v>
      </c>
      <c r="N58" s="80">
        <f t="shared" si="3"/>
        <v>0</v>
      </c>
    </row>
    <row r="59" spans="1:16" ht="28.5" customHeight="1" x14ac:dyDescent="0.2">
      <c r="A59" s="127"/>
      <c r="B59" s="127"/>
      <c r="C59" s="97" t="s">
        <v>65</v>
      </c>
      <c r="D59" s="168" t="s">
        <v>66</v>
      </c>
      <c r="E59" s="128">
        <v>238901.06</v>
      </c>
      <c r="F59" s="100">
        <f>G59-E59</f>
        <v>29862.630000000005</v>
      </c>
      <c r="G59" s="128">
        <v>268763.69</v>
      </c>
      <c r="H59" s="100">
        <f t="shared" si="19"/>
        <v>-29447.869999999995</v>
      </c>
      <c r="I59" s="128">
        <v>239315.82</v>
      </c>
      <c r="J59" s="140">
        <f t="shared" si="20"/>
        <v>0.89043211156983293</v>
      </c>
      <c r="M59" s="83">
        <f t="shared" si="13"/>
        <v>268763.69</v>
      </c>
      <c r="N59" s="80">
        <f t="shared" si="3"/>
        <v>0</v>
      </c>
    </row>
    <row r="60" spans="1:16" s="131" customFormat="1" ht="33.75" x14ac:dyDescent="0.2">
      <c r="A60" s="53"/>
      <c r="B60" s="129">
        <v>42</v>
      </c>
      <c r="C60" s="53"/>
      <c r="D60" s="111" t="s">
        <v>49</v>
      </c>
      <c r="E60" s="54">
        <f>SUM(E61:E65)</f>
        <v>1013168.76</v>
      </c>
      <c r="F60" s="54">
        <f t="shared" ref="F60" si="21">SUM(F61:F65)</f>
        <v>24509.510000000002</v>
      </c>
      <c r="G60" s="54">
        <f>SUM(G61:G65)</f>
        <v>1037678.27</v>
      </c>
      <c r="H60" s="94">
        <f t="shared" si="19"/>
        <v>46552.270000000019</v>
      </c>
      <c r="I60" s="54">
        <f>SUM(I61:I65)</f>
        <v>1084230.54</v>
      </c>
      <c r="J60" s="140">
        <f t="shared" si="20"/>
        <v>1.0448619493593134</v>
      </c>
      <c r="K60" s="130"/>
      <c r="L60" s="130"/>
      <c r="M60" s="83">
        <f t="shared" si="13"/>
        <v>1037678.27</v>
      </c>
      <c r="N60" s="80">
        <f t="shared" si="3"/>
        <v>0</v>
      </c>
      <c r="O60" s="130"/>
      <c r="P60" s="130"/>
    </row>
    <row r="61" spans="1:16" s="125" customFormat="1" x14ac:dyDescent="0.2">
      <c r="A61" s="132"/>
      <c r="B61" s="127"/>
      <c r="C61" s="97" t="s">
        <v>64</v>
      </c>
      <c r="D61" s="109" t="s">
        <v>20</v>
      </c>
      <c r="E61" s="128">
        <v>224529.83</v>
      </c>
      <c r="F61" s="128">
        <f>G61-E61</f>
        <v>0</v>
      </c>
      <c r="G61" s="128">
        <v>224529.83</v>
      </c>
      <c r="H61" s="100">
        <f t="shared" si="19"/>
        <v>0</v>
      </c>
      <c r="I61" s="128">
        <v>224529.83</v>
      </c>
      <c r="J61" s="140">
        <f t="shared" si="20"/>
        <v>1</v>
      </c>
      <c r="K61" s="124"/>
      <c r="L61" s="124"/>
      <c r="M61" s="83">
        <f t="shared" si="13"/>
        <v>224529.83</v>
      </c>
      <c r="N61" s="80">
        <f t="shared" si="3"/>
        <v>0</v>
      </c>
      <c r="O61" s="124"/>
      <c r="P61" s="124"/>
    </row>
    <row r="62" spans="1:16" x14ac:dyDescent="0.2">
      <c r="A62" s="127"/>
      <c r="B62" s="127"/>
      <c r="C62" s="98" t="s">
        <v>61</v>
      </c>
      <c r="D62" s="97" t="s">
        <v>39</v>
      </c>
      <c r="E62" s="128">
        <v>11945.05</v>
      </c>
      <c r="F62" s="128">
        <f>G62-E62</f>
        <v>1202.6800000000003</v>
      </c>
      <c r="G62" s="128">
        <v>13147.73</v>
      </c>
      <c r="H62" s="100">
        <f t="shared" si="19"/>
        <v>17104.400000000001</v>
      </c>
      <c r="I62" s="128">
        <v>30252.13</v>
      </c>
      <c r="J62" s="140">
        <f t="shared" si="20"/>
        <v>2.3009394017066067</v>
      </c>
      <c r="M62" s="83">
        <f t="shared" si="13"/>
        <v>13147.73</v>
      </c>
      <c r="N62" s="80">
        <f t="shared" si="3"/>
        <v>0</v>
      </c>
    </row>
    <row r="63" spans="1:16" ht="24" customHeight="1" x14ac:dyDescent="0.2">
      <c r="A63" s="127"/>
      <c r="B63" s="127"/>
      <c r="C63" s="98" t="s">
        <v>128</v>
      </c>
      <c r="D63" s="168" t="s">
        <v>129</v>
      </c>
      <c r="E63" s="128"/>
      <c r="F63" s="128">
        <f>G63-E63</f>
        <v>13272.28</v>
      </c>
      <c r="G63" s="128">
        <v>13272.28</v>
      </c>
      <c r="H63" s="100">
        <f t="shared" si="19"/>
        <v>0</v>
      </c>
      <c r="I63" s="128">
        <v>13272.28</v>
      </c>
      <c r="J63" s="140">
        <f t="shared" si="20"/>
        <v>1</v>
      </c>
      <c r="M63" s="83">
        <f t="shared" si="13"/>
        <v>13272.28</v>
      </c>
      <c r="N63" s="80">
        <f t="shared" si="3"/>
        <v>0</v>
      </c>
    </row>
    <row r="64" spans="1:16" ht="30" customHeight="1" x14ac:dyDescent="0.2">
      <c r="A64" s="127"/>
      <c r="B64" s="127"/>
      <c r="C64" s="97" t="s">
        <v>65</v>
      </c>
      <c r="D64" s="168" t="s">
        <v>66</v>
      </c>
      <c r="E64" s="128">
        <v>776428.43</v>
      </c>
      <c r="F64" s="128">
        <f>G64-E64</f>
        <v>0</v>
      </c>
      <c r="G64" s="128">
        <v>776428.43</v>
      </c>
      <c r="H64" s="100">
        <f t="shared" si="19"/>
        <v>29447.869999999995</v>
      </c>
      <c r="I64" s="128">
        <v>805876.3</v>
      </c>
      <c r="J64" s="140">
        <f t="shared" si="20"/>
        <v>1.0379273463749905</v>
      </c>
      <c r="M64" s="83">
        <f t="shared" si="13"/>
        <v>776428.43</v>
      </c>
      <c r="N64" s="80">
        <f t="shared" si="3"/>
        <v>0</v>
      </c>
    </row>
    <row r="65" spans="1:14" ht="22.5" x14ac:dyDescent="0.2">
      <c r="A65" s="127"/>
      <c r="B65" s="127"/>
      <c r="C65" s="98" t="s">
        <v>54</v>
      </c>
      <c r="D65" s="107" t="s">
        <v>21</v>
      </c>
      <c r="E65" s="128">
        <v>265.45</v>
      </c>
      <c r="F65" s="128">
        <f>G65-E65</f>
        <v>10034.549999999999</v>
      </c>
      <c r="G65" s="128">
        <v>10300</v>
      </c>
      <c r="H65" s="100">
        <f t="shared" si="19"/>
        <v>0</v>
      </c>
      <c r="I65" s="128">
        <v>10300</v>
      </c>
      <c r="J65" s="140">
        <f t="shared" si="20"/>
        <v>1</v>
      </c>
      <c r="M65" s="83">
        <f t="shared" si="13"/>
        <v>10300</v>
      </c>
      <c r="N65" s="80">
        <f t="shared" si="3"/>
        <v>0</v>
      </c>
    </row>
    <row r="66" spans="1:14" x14ac:dyDescent="0.2">
      <c r="E66" s="133"/>
      <c r="F66" s="133"/>
      <c r="G66" s="133"/>
      <c r="H66" s="133"/>
      <c r="I66" s="133"/>
    </row>
    <row r="67" spans="1:14" x14ac:dyDescent="0.2">
      <c r="E67" s="133"/>
      <c r="F67" s="133"/>
      <c r="G67" s="133"/>
      <c r="H67" s="133"/>
      <c r="I67" s="133"/>
    </row>
    <row r="68" spans="1:14" x14ac:dyDescent="0.2">
      <c r="E68" s="133"/>
      <c r="F68" s="133"/>
      <c r="G68" s="133"/>
      <c r="H68" s="133"/>
      <c r="I68" s="133"/>
    </row>
    <row r="69" spans="1:14" x14ac:dyDescent="0.2">
      <c r="E69" s="133"/>
      <c r="F69" s="133"/>
      <c r="G69" s="133"/>
      <c r="H69" s="133"/>
      <c r="I69" s="133"/>
    </row>
    <row r="70" spans="1:14" x14ac:dyDescent="0.2">
      <c r="E70" s="133"/>
      <c r="F70" s="133"/>
      <c r="G70" s="133"/>
      <c r="H70" s="133"/>
      <c r="I70" s="133"/>
    </row>
    <row r="71" spans="1:14" x14ac:dyDescent="0.2">
      <c r="E71" s="133"/>
      <c r="F71" s="133"/>
      <c r="G71" s="133"/>
      <c r="H71" s="133"/>
      <c r="I71" s="133"/>
    </row>
    <row r="72" spans="1:14" x14ac:dyDescent="0.2">
      <c r="E72" s="133"/>
      <c r="F72" s="133"/>
      <c r="G72" s="133"/>
      <c r="H72" s="133"/>
      <c r="I72" s="133"/>
    </row>
    <row r="73" spans="1:14" x14ac:dyDescent="0.2">
      <c r="E73" s="133"/>
      <c r="F73" s="133"/>
      <c r="G73" s="133"/>
      <c r="H73" s="133"/>
      <c r="I73" s="133"/>
    </row>
    <row r="74" spans="1:14" x14ac:dyDescent="0.2">
      <c r="E74" s="133"/>
      <c r="F74" s="133"/>
      <c r="G74" s="133"/>
      <c r="H74" s="133"/>
      <c r="I74" s="133"/>
    </row>
    <row r="75" spans="1:14" x14ac:dyDescent="0.2">
      <c r="E75" s="133"/>
      <c r="F75" s="133"/>
      <c r="G75" s="133"/>
      <c r="H75" s="133"/>
      <c r="I75" s="133"/>
    </row>
    <row r="76" spans="1:14" x14ac:dyDescent="0.2">
      <c r="E76" s="133"/>
      <c r="F76" s="133"/>
      <c r="G76" s="133"/>
      <c r="H76" s="133"/>
      <c r="I76" s="133"/>
    </row>
    <row r="77" spans="1:14" x14ac:dyDescent="0.2">
      <c r="E77" s="133"/>
      <c r="F77" s="133"/>
      <c r="G77" s="133"/>
      <c r="H77" s="133"/>
      <c r="I77" s="133"/>
    </row>
    <row r="78" spans="1:14" x14ac:dyDescent="0.2">
      <c r="E78" s="133"/>
      <c r="F78" s="133"/>
      <c r="G78" s="133"/>
      <c r="H78" s="133"/>
      <c r="I78" s="133"/>
    </row>
    <row r="79" spans="1:14" x14ac:dyDescent="0.2">
      <c r="E79" s="133"/>
      <c r="F79" s="133"/>
      <c r="G79" s="133"/>
      <c r="H79" s="133"/>
      <c r="I79" s="133"/>
    </row>
    <row r="80" spans="1:14" x14ac:dyDescent="0.2">
      <c r="E80" s="133"/>
      <c r="F80" s="133"/>
      <c r="G80" s="133"/>
      <c r="H80" s="133"/>
      <c r="I80" s="133"/>
    </row>
    <row r="81" spans="5:9" x14ac:dyDescent="0.2">
      <c r="E81" s="133"/>
      <c r="F81" s="133"/>
      <c r="G81" s="133"/>
      <c r="H81" s="133"/>
      <c r="I81" s="133"/>
    </row>
    <row r="82" spans="5:9" x14ac:dyDescent="0.2">
      <c r="E82" s="133"/>
      <c r="F82" s="133"/>
      <c r="G82" s="133"/>
      <c r="H82" s="133"/>
      <c r="I82" s="133"/>
    </row>
    <row r="83" spans="5:9" x14ac:dyDescent="0.2">
      <c r="E83" s="133"/>
      <c r="F83" s="133"/>
      <c r="G83" s="133"/>
      <c r="H83" s="133"/>
      <c r="I83" s="133"/>
    </row>
  </sheetData>
  <mergeCells count="7">
    <mergeCell ref="A36:C36"/>
    <mergeCell ref="A10:C10"/>
    <mergeCell ref="A1:J1"/>
    <mergeCell ref="A3:J3"/>
    <mergeCell ref="A5:J5"/>
    <mergeCell ref="A7:J7"/>
    <mergeCell ref="A33:J33"/>
  </mergeCells>
  <pageMargins left="0.7" right="0.7" top="0.75" bottom="0.75" header="0.3" footer="0.3"/>
  <pageSetup paperSize="9" fitToHeight="0" orientation="landscape" r:id="rId1"/>
  <headerFooter>
    <oddHeader>&amp;L&amp;8ZAVOD ZA HITNU MEDICINU SPLITSKO-DALMATINSKE ŽUPANIJE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view="pageLayout" zoomScaleNormal="100" workbookViewId="0">
      <selection sqref="A1:F1"/>
    </sheetView>
  </sheetViews>
  <sheetFormatPr defaultRowHeight="12" x14ac:dyDescent="0.2"/>
  <cols>
    <col min="1" max="1" width="37.7109375" style="18" customWidth="1"/>
    <col min="2" max="3" width="25.28515625" style="18" hidden="1" customWidth="1"/>
    <col min="4" max="4" width="22.5703125" style="18" customWidth="1"/>
    <col min="5" max="5" width="19.42578125" style="18" customWidth="1"/>
    <col min="6" max="6" width="20.28515625" style="18" customWidth="1"/>
    <col min="7" max="16384" width="9.140625" style="18"/>
  </cols>
  <sheetData>
    <row r="1" spans="1:13" ht="42" customHeight="1" x14ac:dyDescent="0.2">
      <c r="A1" s="205" t="s">
        <v>140</v>
      </c>
      <c r="B1" s="205"/>
      <c r="C1" s="205"/>
      <c r="D1" s="205"/>
      <c r="E1" s="205"/>
      <c r="F1" s="205"/>
      <c r="G1" s="77"/>
      <c r="H1" s="77"/>
      <c r="I1" s="77"/>
      <c r="J1" s="77"/>
      <c r="K1" s="77"/>
      <c r="L1" s="77"/>
      <c r="M1" s="77"/>
    </row>
    <row r="2" spans="1:13" ht="18" customHeight="1" x14ac:dyDescent="0.2">
      <c r="A2" s="62"/>
      <c r="B2" s="62"/>
      <c r="C2" s="62"/>
      <c r="D2" s="62"/>
      <c r="E2" s="62"/>
      <c r="F2" s="62"/>
    </row>
    <row r="3" spans="1:13" x14ac:dyDescent="0.2">
      <c r="A3" s="205" t="s">
        <v>34</v>
      </c>
      <c r="B3" s="205"/>
      <c r="C3" s="205"/>
      <c r="D3" s="205"/>
      <c r="E3" s="206"/>
      <c r="F3" s="206"/>
    </row>
    <row r="4" spans="1:13" x14ac:dyDescent="0.2">
      <c r="A4" s="62"/>
      <c r="B4" s="62"/>
      <c r="C4" s="62"/>
      <c r="D4" s="62"/>
      <c r="E4" s="63"/>
      <c r="F4" s="63"/>
    </row>
    <row r="5" spans="1:13" ht="18" customHeight="1" x14ac:dyDescent="0.2">
      <c r="A5" s="205" t="s">
        <v>15</v>
      </c>
      <c r="B5" s="207"/>
      <c r="C5" s="207"/>
      <c r="D5" s="207"/>
      <c r="E5" s="207"/>
      <c r="F5" s="207"/>
    </row>
    <row r="6" spans="1:13" x14ac:dyDescent="0.2">
      <c r="A6" s="62"/>
      <c r="B6" s="62"/>
      <c r="C6" s="62"/>
      <c r="D6" s="62"/>
      <c r="E6" s="63"/>
      <c r="F6" s="63"/>
    </row>
    <row r="7" spans="1:13" x14ac:dyDescent="0.2">
      <c r="A7" s="205" t="s">
        <v>28</v>
      </c>
      <c r="B7" s="208"/>
      <c r="C7" s="208"/>
      <c r="D7" s="208"/>
      <c r="E7" s="208"/>
      <c r="F7" s="208"/>
    </row>
    <row r="8" spans="1:13" x14ac:dyDescent="0.2">
      <c r="A8" s="62"/>
      <c r="B8" s="62"/>
      <c r="C8" s="62"/>
      <c r="D8" s="62"/>
      <c r="E8" s="63"/>
      <c r="F8" s="63"/>
    </row>
    <row r="9" spans="1:13" ht="28.5" customHeight="1" x14ac:dyDescent="0.2">
      <c r="A9" s="64" t="s">
        <v>29</v>
      </c>
      <c r="B9" s="65" t="s">
        <v>12</v>
      </c>
      <c r="C9" s="64" t="s">
        <v>13</v>
      </c>
      <c r="D9" s="64" t="s">
        <v>45</v>
      </c>
      <c r="E9" s="64" t="s">
        <v>126</v>
      </c>
      <c r="F9" s="64" t="s">
        <v>127</v>
      </c>
      <c r="G9" s="142" t="s">
        <v>130</v>
      </c>
    </row>
    <row r="10" spans="1:13" ht="15.75" customHeight="1" x14ac:dyDescent="0.2">
      <c r="A10" s="66" t="s">
        <v>30</v>
      </c>
      <c r="B10" s="20"/>
      <c r="C10" s="21"/>
      <c r="D10" s="22">
        <v>19591825.629999999</v>
      </c>
      <c r="E10" s="22">
        <f>E11</f>
        <v>1857940</v>
      </c>
      <c r="F10" s="22">
        <f>F11</f>
        <v>22419148.27</v>
      </c>
      <c r="G10" s="144">
        <f>F10/D10</f>
        <v>1.1443113415459691</v>
      </c>
    </row>
    <row r="11" spans="1:13" ht="15.75" customHeight="1" x14ac:dyDescent="0.2">
      <c r="A11" s="66" t="s">
        <v>58</v>
      </c>
      <c r="B11" s="20"/>
      <c r="C11" s="21"/>
      <c r="D11" s="22">
        <v>19591825.629999999</v>
      </c>
      <c r="E11" s="22">
        <f>E12</f>
        <v>1857940</v>
      </c>
      <c r="F11" s="22">
        <f>F12</f>
        <v>22419148.27</v>
      </c>
      <c r="G11" s="144">
        <f t="shared" ref="G11:G12" si="0">F11/D11</f>
        <v>1.1443113415459691</v>
      </c>
    </row>
    <row r="12" spans="1:13" x14ac:dyDescent="0.2">
      <c r="A12" s="143" t="s">
        <v>57</v>
      </c>
      <c r="B12" s="20"/>
      <c r="C12" s="21"/>
      <c r="D12" s="22">
        <v>20561208.27</v>
      </c>
      <c r="E12" s="22">
        <f>F12-D12</f>
        <v>1857940</v>
      </c>
      <c r="F12" s="22">
        <v>22419148.27</v>
      </c>
      <c r="G12" s="144">
        <f t="shared" si="0"/>
        <v>1.0903614211578627</v>
      </c>
    </row>
    <row r="15" spans="1:13" x14ac:dyDescent="0.2">
      <c r="A15" s="81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orientation="landscape" r:id="rId1"/>
  <headerFooter>
    <oddHeader>&amp;L&amp;"Arial,Uobičajeno"&amp;8ZAVOD ZA HITNU MEDICINU SPLITSKO-DALMATINSKE ŽUPANIJE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view="pageLayout" zoomScaleNormal="100" workbookViewId="0">
      <selection sqref="A1:I1"/>
    </sheetView>
  </sheetViews>
  <sheetFormatPr defaultRowHeight="12" x14ac:dyDescent="0.2"/>
  <cols>
    <col min="1" max="1" width="7.42578125" style="18" bestFit="1" customWidth="1"/>
    <col min="2" max="2" width="8.42578125" style="18" bestFit="1" customWidth="1"/>
    <col min="3" max="3" width="5.42578125" style="18" bestFit="1" customWidth="1"/>
    <col min="4" max="4" width="25.28515625" style="18" customWidth="1"/>
    <col min="5" max="6" width="25.28515625" style="18" hidden="1" customWidth="1"/>
    <col min="7" max="9" width="25.28515625" style="18" customWidth="1"/>
    <col min="10" max="16384" width="9.140625" style="18"/>
  </cols>
  <sheetData>
    <row r="1" spans="1:13" ht="42" customHeight="1" x14ac:dyDescent="0.2">
      <c r="A1" s="205" t="s">
        <v>137</v>
      </c>
      <c r="B1" s="205"/>
      <c r="C1" s="205"/>
      <c r="D1" s="205"/>
      <c r="E1" s="205"/>
      <c r="F1" s="205"/>
      <c r="G1" s="205"/>
      <c r="H1" s="205"/>
      <c r="I1" s="205"/>
      <c r="J1" s="77"/>
      <c r="K1" s="77"/>
      <c r="L1" s="77"/>
      <c r="M1" s="77"/>
    </row>
    <row r="2" spans="1:13" ht="18" customHeight="1" x14ac:dyDescent="0.2">
      <c r="A2" s="62"/>
      <c r="B2" s="62"/>
      <c r="C2" s="62"/>
      <c r="D2" s="62"/>
      <c r="E2" s="62"/>
      <c r="F2" s="62"/>
      <c r="G2" s="62"/>
      <c r="H2" s="62"/>
      <c r="I2" s="62"/>
    </row>
    <row r="3" spans="1:13" x14ac:dyDescent="0.2">
      <c r="A3" s="205" t="s">
        <v>34</v>
      </c>
      <c r="B3" s="205"/>
      <c r="C3" s="205"/>
      <c r="D3" s="205"/>
      <c r="E3" s="205"/>
      <c r="F3" s="205"/>
      <c r="G3" s="205"/>
      <c r="H3" s="206"/>
      <c r="I3" s="206"/>
    </row>
    <row r="4" spans="1:13" x14ac:dyDescent="0.2">
      <c r="A4" s="62"/>
      <c r="B4" s="62"/>
      <c r="C4" s="62"/>
      <c r="D4" s="62"/>
      <c r="E4" s="62"/>
      <c r="F4" s="62"/>
      <c r="G4" s="62"/>
      <c r="H4" s="63"/>
      <c r="I4" s="63"/>
    </row>
    <row r="5" spans="1:13" ht="18" customHeight="1" x14ac:dyDescent="0.2">
      <c r="A5" s="205" t="s">
        <v>31</v>
      </c>
      <c r="B5" s="207"/>
      <c r="C5" s="207"/>
      <c r="D5" s="207"/>
      <c r="E5" s="207"/>
      <c r="F5" s="207"/>
      <c r="G5" s="207"/>
      <c r="H5" s="207"/>
      <c r="I5" s="207"/>
    </row>
    <row r="6" spans="1:13" x14ac:dyDescent="0.2">
      <c r="A6" s="62"/>
      <c r="B6" s="62"/>
      <c r="C6" s="62"/>
      <c r="D6" s="62"/>
      <c r="E6" s="62"/>
      <c r="F6" s="62"/>
      <c r="G6" s="62"/>
      <c r="H6" s="63"/>
      <c r="I6" s="63"/>
    </row>
    <row r="7" spans="1:13" x14ac:dyDescent="0.2">
      <c r="A7" s="64" t="s">
        <v>16</v>
      </c>
      <c r="B7" s="65" t="s">
        <v>17</v>
      </c>
      <c r="C7" s="65" t="s">
        <v>18</v>
      </c>
      <c r="D7" s="65" t="s">
        <v>51</v>
      </c>
      <c r="E7" s="65" t="s">
        <v>12</v>
      </c>
      <c r="F7" s="64" t="s">
        <v>13</v>
      </c>
      <c r="G7" s="87" t="s">
        <v>45</v>
      </c>
      <c r="H7" s="87" t="s">
        <v>126</v>
      </c>
      <c r="I7" s="87" t="s">
        <v>127</v>
      </c>
    </row>
    <row r="8" spans="1:13" ht="24" x14ac:dyDescent="0.2">
      <c r="A8" s="66">
        <v>8</v>
      </c>
      <c r="B8" s="66"/>
      <c r="C8" s="66"/>
      <c r="D8" s="66" t="s">
        <v>32</v>
      </c>
      <c r="E8" s="20"/>
      <c r="F8" s="21"/>
      <c r="G8" s="21"/>
      <c r="H8" s="21"/>
      <c r="I8" s="21"/>
    </row>
    <row r="9" spans="1:13" x14ac:dyDescent="0.2">
      <c r="A9" s="66"/>
      <c r="B9" s="157">
        <v>84</v>
      </c>
      <c r="C9" s="157"/>
      <c r="D9" s="157" t="s">
        <v>36</v>
      </c>
      <c r="E9" s="20"/>
      <c r="F9" s="21"/>
      <c r="G9" s="21"/>
      <c r="H9" s="21"/>
      <c r="I9" s="21"/>
    </row>
    <row r="10" spans="1:13" ht="24" x14ac:dyDescent="0.2">
      <c r="A10" s="158"/>
      <c r="B10" s="158"/>
      <c r="C10" s="159">
        <v>81</v>
      </c>
      <c r="D10" s="143" t="s">
        <v>37</v>
      </c>
      <c r="E10" s="20"/>
      <c r="F10" s="21"/>
      <c r="G10" s="21"/>
      <c r="H10" s="21"/>
      <c r="I10" s="21"/>
    </row>
    <row r="11" spans="1:13" ht="24" x14ac:dyDescent="0.2">
      <c r="A11" s="160">
        <v>5</v>
      </c>
      <c r="B11" s="160"/>
      <c r="C11" s="160"/>
      <c r="D11" s="161" t="s">
        <v>33</v>
      </c>
      <c r="E11" s="20"/>
      <c r="F11" s="21"/>
      <c r="G11" s="21"/>
      <c r="H11" s="21"/>
      <c r="I11" s="21"/>
    </row>
    <row r="12" spans="1:13" ht="24" x14ac:dyDescent="0.2">
      <c r="A12" s="157"/>
      <c r="B12" s="157">
        <v>54</v>
      </c>
      <c r="C12" s="157"/>
      <c r="D12" s="162" t="s">
        <v>38</v>
      </c>
      <c r="E12" s="20"/>
      <c r="F12" s="21"/>
      <c r="G12" s="21"/>
      <c r="H12" s="21"/>
      <c r="I12" s="163"/>
    </row>
    <row r="13" spans="1:13" x14ac:dyDescent="0.2">
      <c r="A13" s="157"/>
      <c r="B13" s="157"/>
      <c r="C13" s="159">
        <v>11</v>
      </c>
      <c r="D13" s="159" t="s">
        <v>20</v>
      </c>
      <c r="E13" s="20"/>
      <c r="F13" s="21"/>
      <c r="G13" s="21"/>
      <c r="H13" s="21"/>
      <c r="I13" s="163"/>
    </row>
    <row r="14" spans="1:13" x14ac:dyDescent="0.2">
      <c r="A14" s="157"/>
      <c r="B14" s="157"/>
      <c r="C14" s="159">
        <v>31</v>
      </c>
      <c r="D14" s="159" t="s">
        <v>39</v>
      </c>
      <c r="E14" s="20"/>
      <c r="F14" s="21"/>
      <c r="G14" s="21"/>
      <c r="H14" s="21"/>
      <c r="I14" s="163"/>
    </row>
  </sheetData>
  <mergeCells count="3">
    <mergeCell ref="A1:I1"/>
    <mergeCell ref="A3:I3"/>
    <mergeCell ref="A5:I5"/>
  </mergeCells>
  <pageMargins left="0.7" right="0.7" top="0.75" bottom="0.75" header="0.3" footer="0.3"/>
  <pageSetup paperSize="9" orientation="landscape" r:id="rId1"/>
  <headerFooter>
    <oddHeader>&amp;L&amp;"Arial,Uobičajeno"&amp;8ZAVOD ZA HITNU MEDICINU SPLITSKO-DALMATINSKE ŽUPANIJE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view="pageLayout" zoomScaleNormal="100" workbookViewId="0">
      <selection activeCell="B1" sqref="B1:I1"/>
    </sheetView>
  </sheetViews>
  <sheetFormatPr defaultRowHeight="11.25" x14ac:dyDescent="0.2"/>
  <cols>
    <col min="1" max="1" width="4.85546875" style="171" customWidth="1"/>
    <col min="2" max="2" width="9.28515625" style="81" bestFit="1" customWidth="1"/>
    <col min="3" max="3" width="60.5703125" style="81" customWidth="1"/>
    <col min="4" max="4" width="13.85546875" style="81" hidden="1" customWidth="1"/>
    <col min="5" max="5" width="12.7109375" style="81" hidden="1" customWidth="1"/>
    <col min="6" max="7" width="13.85546875" style="81" customWidth="1"/>
    <col min="8" max="8" width="14.28515625" style="81" customWidth="1"/>
    <col min="9" max="9" width="8.7109375" style="134" customWidth="1"/>
    <col min="10" max="16384" width="9.140625" style="81"/>
  </cols>
  <sheetData>
    <row r="1" spans="2:9" ht="39" customHeight="1" x14ac:dyDescent="0.2">
      <c r="B1" s="204" t="s">
        <v>140</v>
      </c>
      <c r="C1" s="204"/>
      <c r="D1" s="204"/>
      <c r="E1" s="204"/>
      <c r="F1" s="204"/>
      <c r="G1" s="204"/>
      <c r="H1" s="204"/>
      <c r="I1" s="204"/>
    </row>
    <row r="2" spans="2:9" x14ac:dyDescent="0.2">
      <c r="B2" s="216" t="s">
        <v>77</v>
      </c>
      <c r="C2" s="216"/>
      <c r="D2" s="216"/>
      <c r="E2" s="216"/>
      <c r="F2" s="216"/>
      <c r="G2" s="216"/>
      <c r="H2" s="216"/>
      <c r="I2" s="216"/>
    </row>
    <row r="3" spans="2:9" x14ac:dyDescent="0.2">
      <c r="B3" s="49"/>
      <c r="C3" s="49"/>
      <c r="D3" s="153"/>
      <c r="E3" s="153"/>
      <c r="F3" s="173"/>
      <c r="G3" s="173"/>
      <c r="H3" s="173"/>
      <c r="I3" s="154"/>
    </row>
    <row r="4" spans="2:9" ht="11.25" customHeight="1" x14ac:dyDescent="0.2">
      <c r="B4" s="217" t="s">
        <v>78</v>
      </c>
      <c r="C4" s="217"/>
      <c r="D4" s="212" t="s">
        <v>45</v>
      </c>
      <c r="E4" s="212" t="s">
        <v>126</v>
      </c>
      <c r="F4" s="209" t="s">
        <v>45</v>
      </c>
      <c r="G4" s="209" t="s">
        <v>126</v>
      </c>
      <c r="H4" s="209" t="s">
        <v>127</v>
      </c>
      <c r="I4" s="218" t="s">
        <v>130</v>
      </c>
    </row>
    <row r="5" spans="2:9" ht="22.5" customHeight="1" x14ac:dyDescent="0.2">
      <c r="B5" s="217"/>
      <c r="C5" s="217"/>
      <c r="D5" s="212"/>
      <c r="E5" s="212"/>
      <c r="F5" s="209"/>
      <c r="G5" s="209"/>
      <c r="H5" s="209"/>
      <c r="I5" s="218"/>
    </row>
    <row r="6" spans="2:9" x14ac:dyDescent="0.2">
      <c r="B6" s="217"/>
      <c r="C6" s="217"/>
      <c r="D6" s="50">
        <v>1</v>
      </c>
      <c r="E6" s="50">
        <v>2</v>
      </c>
      <c r="F6" s="50">
        <v>1</v>
      </c>
      <c r="G6" s="50">
        <v>2</v>
      </c>
      <c r="H6" s="50">
        <v>3</v>
      </c>
      <c r="I6" s="155" t="s">
        <v>135</v>
      </c>
    </row>
    <row r="7" spans="2:9" x14ac:dyDescent="0.2">
      <c r="B7" s="215" t="s">
        <v>79</v>
      </c>
      <c r="C7" s="215"/>
      <c r="D7" s="52">
        <f t="shared" ref="D7:F9" si="0">D8</f>
        <v>19591825.629999999</v>
      </c>
      <c r="E7" s="52">
        <f t="shared" si="0"/>
        <v>1010433.1200000014</v>
      </c>
      <c r="F7" s="52">
        <f t="shared" si="0"/>
        <v>20602258.75</v>
      </c>
      <c r="G7" s="52">
        <f>H7-F7</f>
        <v>1857940</v>
      </c>
      <c r="H7" s="52">
        <f>H8</f>
        <v>22460198.75</v>
      </c>
      <c r="I7" s="148">
        <f>H7/F7</f>
        <v>1.090181373923381</v>
      </c>
    </row>
    <row r="8" spans="2:9" x14ac:dyDescent="0.2">
      <c r="B8" s="214" t="s">
        <v>80</v>
      </c>
      <c r="C8" s="214"/>
      <c r="D8" s="54">
        <f t="shared" si="0"/>
        <v>19591825.629999999</v>
      </c>
      <c r="E8" s="54">
        <f t="shared" si="0"/>
        <v>1010433.1200000014</v>
      </c>
      <c r="F8" s="54">
        <f t="shared" si="0"/>
        <v>20602258.75</v>
      </c>
      <c r="G8" s="54">
        <f>H8-F8</f>
        <v>1857940</v>
      </c>
      <c r="H8" s="54">
        <f>H9</f>
        <v>22460198.75</v>
      </c>
      <c r="I8" s="149">
        <f>H8/F8</f>
        <v>1.090181373923381</v>
      </c>
    </row>
    <row r="9" spans="2:9" x14ac:dyDescent="0.2">
      <c r="B9" s="214" t="s">
        <v>81</v>
      </c>
      <c r="C9" s="214"/>
      <c r="D9" s="54">
        <f t="shared" si="0"/>
        <v>19591825.629999999</v>
      </c>
      <c r="E9" s="54">
        <f t="shared" si="0"/>
        <v>1010433.1200000014</v>
      </c>
      <c r="F9" s="54">
        <f t="shared" si="0"/>
        <v>20602258.75</v>
      </c>
      <c r="G9" s="54">
        <f t="shared" ref="G9:G10" si="1">H9-F9</f>
        <v>1857940</v>
      </c>
      <c r="H9" s="54">
        <f>H10</f>
        <v>22460198.75</v>
      </c>
      <c r="I9" s="149">
        <f t="shared" ref="I9:I19" si="2">H9/F9</f>
        <v>1.090181373923381</v>
      </c>
    </row>
    <row r="10" spans="2:9" x14ac:dyDescent="0.2">
      <c r="B10" s="214" t="s">
        <v>82</v>
      </c>
      <c r="C10" s="214"/>
      <c r="D10" s="54">
        <f>D11+D13+D15+D19+D24+D26+D28+D30+D32</f>
        <v>19591825.629999999</v>
      </c>
      <c r="E10" s="54">
        <f>E11+E13+E15+E19+E24+E26+E28+E30+E32+E17</f>
        <v>1010433.1200000014</v>
      </c>
      <c r="F10" s="54">
        <f>F11+F13+F15+F19+F24+F26+F28+F30+F32+F17</f>
        <v>20602258.75</v>
      </c>
      <c r="G10" s="54">
        <f t="shared" si="1"/>
        <v>1857940</v>
      </c>
      <c r="H10" s="54">
        <f>H11+H13+H15+H17+H19+H24+H26+H28+H30+H32</f>
        <v>22460198.75</v>
      </c>
      <c r="I10" s="149">
        <f t="shared" si="2"/>
        <v>1.090181373923381</v>
      </c>
    </row>
    <row r="11" spans="2:9" x14ac:dyDescent="0.2">
      <c r="B11" s="210" t="s">
        <v>83</v>
      </c>
      <c r="C11" s="210"/>
      <c r="D11" s="55">
        <f>D12</f>
        <v>1055241.8899999999</v>
      </c>
      <c r="E11" s="55">
        <f>E12</f>
        <v>0</v>
      </c>
      <c r="F11" s="55">
        <f>F12</f>
        <v>1055241.8899999999</v>
      </c>
      <c r="G11" s="55">
        <f t="shared" ref="G11:G20" si="3">H11-F11</f>
        <v>0</v>
      </c>
      <c r="H11" s="55">
        <f>H12</f>
        <v>1055241.8899999999</v>
      </c>
      <c r="I11" s="176">
        <f t="shared" si="2"/>
        <v>1</v>
      </c>
    </row>
    <row r="12" spans="2:9" x14ac:dyDescent="0.2">
      <c r="B12" s="51">
        <v>67</v>
      </c>
      <c r="C12" s="51" t="s">
        <v>48</v>
      </c>
      <c r="D12" s="56">
        <f>D41+D72+D102+D123</f>
        <v>1055241.8899999999</v>
      </c>
      <c r="E12" s="56">
        <f>F12-D12</f>
        <v>0</v>
      </c>
      <c r="F12" s="56">
        <v>1055241.8899999999</v>
      </c>
      <c r="G12" s="56">
        <f t="shared" si="3"/>
        <v>0</v>
      </c>
      <c r="H12" s="56">
        <v>1055241.8899999999</v>
      </c>
      <c r="I12" s="149">
        <f t="shared" si="2"/>
        <v>1</v>
      </c>
    </row>
    <row r="13" spans="2:9" x14ac:dyDescent="0.2">
      <c r="B13" s="210" t="s">
        <v>84</v>
      </c>
      <c r="C13" s="210"/>
      <c r="D13" s="55">
        <f>D14</f>
        <v>1656303.27</v>
      </c>
      <c r="E13" s="55">
        <f>E14</f>
        <v>0.52000000001862645</v>
      </c>
      <c r="F13" s="55">
        <f>F14</f>
        <v>1656303.79</v>
      </c>
      <c r="G13" s="55">
        <f t="shared" si="3"/>
        <v>0</v>
      </c>
      <c r="H13" s="55">
        <f>H14</f>
        <v>1656303.79</v>
      </c>
      <c r="I13" s="176">
        <f t="shared" si="2"/>
        <v>1</v>
      </c>
    </row>
    <row r="14" spans="2:9" x14ac:dyDescent="0.2">
      <c r="B14" s="51">
        <v>67</v>
      </c>
      <c r="C14" s="51" t="s">
        <v>48</v>
      </c>
      <c r="D14" s="56">
        <f>D89</f>
        <v>1656303.27</v>
      </c>
      <c r="E14" s="56">
        <f>F14-D14</f>
        <v>0.52000000001862645</v>
      </c>
      <c r="F14" s="56">
        <v>1656303.79</v>
      </c>
      <c r="G14" s="56">
        <f t="shared" si="3"/>
        <v>0</v>
      </c>
      <c r="H14" s="56">
        <f>H89</f>
        <v>1656303.79</v>
      </c>
      <c r="I14" s="149">
        <f t="shared" si="2"/>
        <v>1</v>
      </c>
    </row>
    <row r="15" spans="2:9" x14ac:dyDescent="0.2">
      <c r="B15" s="210" t="s">
        <v>85</v>
      </c>
      <c r="C15" s="210"/>
      <c r="D15" s="55">
        <f>D16</f>
        <v>26530</v>
      </c>
      <c r="E15" s="55">
        <f>E16</f>
        <v>0</v>
      </c>
      <c r="F15" s="55">
        <f>F16</f>
        <v>26530</v>
      </c>
      <c r="G15" s="55">
        <f t="shared" si="3"/>
        <v>0</v>
      </c>
      <c r="H15" s="55">
        <f>H16</f>
        <v>26530</v>
      </c>
      <c r="I15" s="176">
        <f t="shared" si="2"/>
        <v>1</v>
      </c>
    </row>
    <row r="16" spans="2:9" x14ac:dyDescent="0.2">
      <c r="B16" s="51">
        <v>67</v>
      </c>
      <c r="C16" s="51" t="s">
        <v>48</v>
      </c>
      <c r="D16" s="56">
        <f>D129</f>
        <v>26530</v>
      </c>
      <c r="E16" s="56">
        <f>F16-D16</f>
        <v>0</v>
      </c>
      <c r="F16" s="56">
        <v>26530</v>
      </c>
      <c r="G16" s="56">
        <f t="shared" si="3"/>
        <v>0</v>
      </c>
      <c r="H16" s="56">
        <f>H129</f>
        <v>26530</v>
      </c>
      <c r="I16" s="149">
        <f t="shared" si="2"/>
        <v>1</v>
      </c>
    </row>
    <row r="17" spans="2:9" x14ac:dyDescent="0.2">
      <c r="B17" s="210" t="s">
        <v>131</v>
      </c>
      <c r="C17" s="210"/>
      <c r="D17" s="55">
        <f>D18</f>
        <v>0</v>
      </c>
      <c r="E17" s="55">
        <f>E18</f>
        <v>13272.28</v>
      </c>
      <c r="F17" s="55">
        <f>F18</f>
        <v>13272.28</v>
      </c>
      <c r="G17" s="55">
        <f t="shared" si="3"/>
        <v>0</v>
      </c>
      <c r="H17" s="55">
        <f>H18</f>
        <v>13272.28</v>
      </c>
      <c r="I17" s="176">
        <f t="shared" si="2"/>
        <v>1</v>
      </c>
    </row>
    <row r="18" spans="2:9" x14ac:dyDescent="0.2">
      <c r="B18" s="51">
        <v>67</v>
      </c>
      <c r="C18" s="51" t="s">
        <v>48</v>
      </c>
      <c r="D18" s="56">
        <v>0</v>
      </c>
      <c r="E18" s="56">
        <f>F18-D18</f>
        <v>13272.28</v>
      </c>
      <c r="F18" s="56">
        <v>13272.28</v>
      </c>
      <c r="G18" s="56">
        <f t="shared" si="3"/>
        <v>0</v>
      </c>
      <c r="H18" s="56">
        <f>H134</f>
        <v>13272.28</v>
      </c>
      <c r="I18" s="149">
        <f t="shared" si="2"/>
        <v>1</v>
      </c>
    </row>
    <row r="19" spans="2:9" x14ac:dyDescent="0.2">
      <c r="B19" s="210" t="s">
        <v>86</v>
      </c>
      <c r="C19" s="210"/>
      <c r="D19" s="55">
        <v>266905.56</v>
      </c>
      <c r="E19" s="55">
        <f>F19-D19</f>
        <v>35114.44</v>
      </c>
      <c r="F19" s="55">
        <f>SUM(F20:F23)</f>
        <v>302020</v>
      </c>
      <c r="G19" s="55">
        <f t="shared" si="3"/>
        <v>0</v>
      </c>
      <c r="H19" s="55">
        <f>H21+H22+H23</f>
        <v>302020</v>
      </c>
      <c r="I19" s="176">
        <f t="shared" si="2"/>
        <v>1</v>
      </c>
    </row>
    <row r="20" spans="2:9" x14ac:dyDescent="0.2">
      <c r="B20" s="51" t="s">
        <v>87</v>
      </c>
      <c r="C20" s="51" t="s">
        <v>47</v>
      </c>
      <c r="D20" s="56">
        <v>0</v>
      </c>
      <c r="E20" s="56">
        <f>F20-D20</f>
        <v>0</v>
      </c>
      <c r="F20" s="56">
        <v>0</v>
      </c>
      <c r="G20" s="56">
        <f t="shared" si="3"/>
        <v>0</v>
      </c>
      <c r="H20" s="56"/>
      <c r="I20" s="151"/>
    </row>
    <row r="21" spans="2:9" x14ac:dyDescent="0.2">
      <c r="B21" s="51" t="s">
        <v>88</v>
      </c>
      <c r="C21" s="51" t="s">
        <v>89</v>
      </c>
      <c r="D21" s="56">
        <v>132.72</v>
      </c>
      <c r="E21" s="56">
        <f t="shared" ref="E21:E23" si="4">F21-D21</f>
        <v>-112.72</v>
      </c>
      <c r="F21" s="56">
        <v>20</v>
      </c>
      <c r="G21" s="56">
        <f t="shared" ref="G21:G23" si="5">H21-F21</f>
        <v>0</v>
      </c>
      <c r="H21" s="56">
        <f>F21</f>
        <v>20</v>
      </c>
      <c r="I21" s="151">
        <f>H21/F21</f>
        <v>1</v>
      </c>
    </row>
    <row r="22" spans="2:9" ht="22.5" x14ac:dyDescent="0.2">
      <c r="B22" s="51" t="s">
        <v>90</v>
      </c>
      <c r="C22" s="168" t="s">
        <v>91</v>
      </c>
      <c r="D22" s="56">
        <v>265445.61</v>
      </c>
      <c r="E22" s="56">
        <f t="shared" si="4"/>
        <v>34554.390000000014</v>
      </c>
      <c r="F22" s="56">
        <v>300000</v>
      </c>
      <c r="G22" s="56">
        <f t="shared" si="5"/>
        <v>0</v>
      </c>
      <c r="H22" s="56">
        <f t="shared" ref="H22:H23" si="6">F22</f>
        <v>300000</v>
      </c>
      <c r="I22" s="151">
        <f t="shared" ref="I22:I23" si="7">H22/F22</f>
        <v>1</v>
      </c>
    </row>
    <row r="23" spans="2:9" x14ac:dyDescent="0.2">
      <c r="B23" s="51" t="s">
        <v>92</v>
      </c>
      <c r="C23" s="51" t="s">
        <v>68</v>
      </c>
      <c r="D23" s="56">
        <v>1327.23</v>
      </c>
      <c r="E23" s="56">
        <f t="shared" si="4"/>
        <v>672.77</v>
      </c>
      <c r="F23" s="56">
        <v>2000</v>
      </c>
      <c r="G23" s="56">
        <f t="shared" si="5"/>
        <v>0</v>
      </c>
      <c r="H23" s="56">
        <f t="shared" si="6"/>
        <v>2000</v>
      </c>
      <c r="I23" s="151">
        <f t="shared" si="7"/>
        <v>1</v>
      </c>
    </row>
    <row r="24" spans="2:9" x14ac:dyDescent="0.2">
      <c r="B24" s="210" t="s">
        <v>93</v>
      </c>
      <c r="C24" s="210"/>
      <c r="D24" s="55">
        <v>15349735.609999999</v>
      </c>
      <c r="E24" s="55">
        <f t="shared" ref="E24:E30" si="8">F24-D24</f>
        <v>602237.36000000127</v>
      </c>
      <c r="F24" s="55">
        <f>F25</f>
        <v>15951972.970000001</v>
      </c>
      <c r="G24" s="55">
        <f>G25</f>
        <v>1028710</v>
      </c>
      <c r="H24" s="55">
        <f>H25</f>
        <v>16980682.969999999</v>
      </c>
      <c r="I24" s="150">
        <f>H24/F24</f>
        <v>1.0644879477876898</v>
      </c>
    </row>
    <row r="25" spans="2:9" x14ac:dyDescent="0.2">
      <c r="B25" s="51" t="s">
        <v>94</v>
      </c>
      <c r="C25" s="51" t="s">
        <v>48</v>
      </c>
      <c r="D25" s="56">
        <v>15349735.609999999</v>
      </c>
      <c r="E25" s="56">
        <f t="shared" si="8"/>
        <v>602237.36000000127</v>
      </c>
      <c r="F25" s="56">
        <v>15951972.970000001</v>
      </c>
      <c r="G25" s="56">
        <v>1028710</v>
      </c>
      <c r="H25" s="56">
        <f>F25+G25</f>
        <v>16980682.969999999</v>
      </c>
      <c r="I25" s="177">
        <f t="shared" ref="I25:I34" si="9">H25/F25</f>
        <v>1.0644879477876898</v>
      </c>
    </row>
    <row r="26" spans="2:9" x14ac:dyDescent="0.2">
      <c r="B26" s="210" t="s">
        <v>95</v>
      </c>
      <c r="C26" s="210"/>
      <c r="D26" s="55">
        <v>1071603.97</v>
      </c>
      <c r="E26" s="55">
        <f t="shared" si="8"/>
        <v>20915.620000000112</v>
      </c>
      <c r="F26" s="55">
        <f>F27</f>
        <v>1092519.5900000001</v>
      </c>
      <c r="G26" s="55">
        <f>G27</f>
        <v>784050</v>
      </c>
      <c r="H26" s="55">
        <f>H27</f>
        <v>1876569.59</v>
      </c>
      <c r="I26" s="150">
        <f t="shared" si="9"/>
        <v>1.7176530354023216</v>
      </c>
    </row>
    <row r="27" spans="2:9" x14ac:dyDescent="0.2">
      <c r="B27" s="51" t="s">
        <v>87</v>
      </c>
      <c r="C27" s="51" t="s">
        <v>47</v>
      </c>
      <c r="D27" s="56">
        <v>1071603.97</v>
      </c>
      <c r="E27" s="56">
        <f t="shared" si="8"/>
        <v>20915.620000000112</v>
      </c>
      <c r="F27" s="56">
        <v>1092519.5900000001</v>
      </c>
      <c r="G27" s="56">
        <v>784050</v>
      </c>
      <c r="H27" s="56">
        <f>F27+G27</f>
        <v>1876569.59</v>
      </c>
      <c r="I27" s="177">
        <f t="shared" si="9"/>
        <v>1.7176530354023216</v>
      </c>
    </row>
    <row r="28" spans="2:9" x14ac:dyDescent="0.2">
      <c r="B28" s="210" t="s">
        <v>96</v>
      </c>
      <c r="C28" s="210"/>
      <c r="D28" s="55">
        <v>151967.6</v>
      </c>
      <c r="E28" s="55">
        <f t="shared" si="8"/>
        <v>323130.63</v>
      </c>
      <c r="F28" s="55">
        <f>F29</f>
        <v>475098.23</v>
      </c>
      <c r="G28" s="55">
        <f>G29</f>
        <v>45180</v>
      </c>
      <c r="H28" s="55">
        <f>H29</f>
        <v>520278.23</v>
      </c>
      <c r="I28" s="150">
        <f t="shared" si="9"/>
        <v>1.0950961235953247</v>
      </c>
    </row>
    <row r="29" spans="2:9" x14ac:dyDescent="0.2">
      <c r="B29" s="51" t="s">
        <v>87</v>
      </c>
      <c r="C29" s="51" t="s">
        <v>47</v>
      </c>
      <c r="D29" s="56">
        <v>151967.6</v>
      </c>
      <c r="E29" s="56">
        <f t="shared" si="8"/>
        <v>323130.63</v>
      </c>
      <c r="F29" s="56">
        <v>475098.23</v>
      </c>
      <c r="G29" s="56">
        <v>45180</v>
      </c>
      <c r="H29" s="56">
        <f>F29+G29</f>
        <v>520278.23</v>
      </c>
      <c r="I29" s="177">
        <f t="shared" si="9"/>
        <v>1.0950961235953247</v>
      </c>
    </row>
    <row r="30" spans="2:9" x14ac:dyDescent="0.2">
      <c r="B30" s="210" t="s">
        <v>97</v>
      </c>
      <c r="C30" s="210"/>
      <c r="D30" s="55">
        <v>0</v>
      </c>
      <c r="E30" s="55">
        <f t="shared" si="8"/>
        <v>0</v>
      </c>
      <c r="F30" s="55">
        <v>0</v>
      </c>
      <c r="G30" s="55">
        <f t="shared" ref="G30:G36" si="10">H30-F30</f>
        <v>0</v>
      </c>
      <c r="H30" s="55"/>
      <c r="I30" s="150"/>
    </row>
    <row r="31" spans="2:9" x14ac:dyDescent="0.2">
      <c r="B31" s="51" t="s">
        <v>90</v>
      </c>
      <c r="C31" s="51" t="s">
        <v>91</v>
      </c>
      <c r="D31" s="56">
        <v>0</v>
      </c>
      <c r="E31" s="56">
        <v>0</v>
      </c>
      <c r="F31" s="56">
        <v>0</v>
      </c>
      <c r="G31" s="56">
        <f t="shared" si="10"/>
        <v>0</v>
      </c>
      <c r="H31" s="56"/>
      <c r="I31" s="177"/>
    </row>
    <row r="32" spans="2:9" x14ac:dyDescent="0.2">
      <c r="B32" s="210" t="s">
        <v>98</v>
      </c>
      <c r="C32" s="210"/>
      <c r="D32" s="55">
        <v>13537.73</v>
      </c>
      <c r="E32" s="55">
        <f>F32-D32</f>
        <v>15762.27</v>
      </c>
      <c r="F32" s="55">
        <f>F33+F34</f>
        <v>29300</v>
      </c>
      <c r="G32" s="55">
        <f t="shared" si="10"/>
        <v>0</v>
      </c>
      <c r="H32" s="55">
        <f>H33+H34</f>
        <v>29300</v>
      </c>
      <c r="I32" s="150">
        <f t="shared" si="9"/>
        <v>1</v>
      </c>
    </row>
    <row r="33" spans="2:9" x14ac:dyDescent="0.2">
      <c r="B33" s="51" t="s">
        <v>99</v>
      </c>
      <c r="C33" s="51" t="s">
        <v>100</v>
      </c>
      <c r="D33" s="56">
        <v>13272.28</v>
      </c>
      <c r="E33" s="56">
        <f>F33-D33</f>
        <v>5727.7199999999993</v>
      </c>
      <c r="F33" s="56">
        <v>19000</v>
      </c>
      <c r="G33" s="56">
        <f t="shared" si="10"/>
        <v>0</v>
      </c>
      <c r="H33" s="56">
        <f>H99</f>
        <v>19000</v>
      </c>
      <c r="I33" s="177">
        <f t="shared" si="9"/>
        <v>1</v>
      </c>
    </row>
    <row r="34" spans="2:9" x14ac:dyDescent="0.2">
      <c r="B34" s="51" t="s">
        <v>101</v>
      </c>
      <c r="C34" s="51" t="s">
        <v>46</v>
      </c>
      <c r="D34" s="56">
        <v>265.45</v>
      </c>
      <c r="E34" s="56">
        <f>F34-D34</f>
        <v>10034.549999999999</v>
      </c>
      <c r="F34" s="56">
        <v>10300</v>
      </c>
      <c r="G34" s="56">
        <f t="shared" si="10"/>
        <v>0</v>
      </c>
      <c r="H34" s="56">
        <f>H100</f>
        <v>10300</v>
      </c>
      <c r="I34" s="177">
        <f t="shared" si="9"/>
        <v>1</v>
      </c>
    </row>
    <row r="35" spans="2:9" x14ac:dyDescent="0.2">
      <c r="B35" s="215" t="s">
        <v>102</v>
      </c>
      <c r="C35" s="215"/>
      <c r="D35" s="52">
        <v>19591825.629999999</v>
      </c>
      <c r="E35" s="52">
        <f>F35-D35</f>
        <v>969382.64000000432</v>
      </c>
      <c r="F35" s="52">
        <f>F40+F71+F101+F122+F128+F139+F155+F171+F177</f>
        <v>20561208.270000003</v>
      </c>
      <c r="G35" s="52">
        <f t="shared" si="10"/>
        <v>1857939.9999999963</v>
      </c>
      <c r="H35" s="52">
        <f>H36</f>
        <v>22419148.27</v>
      </c>
      <c r="I35" s="148">
        <f>H35/F35</f>
        <v>1.0903614211578625</v>
      </c>
    </row>
    <row r="36" spans="2:9" x14ac:dyDescent="0.2">
      <c r="B36" s="214" t="s">
        <v>80</v>
      </c>
      <c r="C36" s="214"/>
      <c r="D36" s="54">
        <v>19591825.629999999</v>
      </c>
      <c r="E36" s="54">
        <f>F36-D36</f>
        <v>969382.64000000432</v>
      </c>
      <c r="F36" s="54">
        <f>F35</f>
        <v>20561208.270000003</v>
      </c>
      <c r="G36" s="54">
        <f t="shared" si="10"/>
        <v>1857939.9999999963</v>
      </c>
      <c r="H36" s="54">
        <f>H37</f>
        <v>22419148.27</v>
      </c>
      <c r="I36" s="149">
        <f>H36/F36</f>
        <v>1.0903614211578625</v>
      </c>
    </row>
    <row r="37" spans="2:9" x14ac:dyDescent="0.2">
      <c r="B37" s="214" t="s">
        <v>81</v>
      </c>
      <c r="C37" s="214"/>
      <c r="D37" s="54">
        <v>19591825.629999999</v>
      </c>
      <c r="E37" s="54">
        <f t="shared" ref="E37:E39" si="11">F37-D37</f>
        <v>969382.64000000432</v>
      </c>
      <c r="F37" s="54">
        <f t="shared" ref="F37:F39" si="12">F36</f>
        <v>20561208.270000003</v>
      </c>
      <c r="G37" s="54">
        <f t="shared" ref="G37:G39" si="13">H37-F37</f>
        <v>1857939.9999999963</v>
      </c>
      <c r="H37" s="54">
        <f>H38</f>
        <v>22419148.27</v>
      </c>
      <c r="I37" s="149">
        <f t="shared" ref="I37:I39" si="14">H37/F37</f>
        <v>1.0903614211578625</v>
      </c>
    </row>
    <row r="38" spans="2:9" x14ac:dyDescent="0.2">
      <c r="B38" s="214" t="s">
        <v>82</v>
      </c>
      <c r="C38" s="214"/>
      <c r="D38" s="54">
        <v>19591825.629999999</v>
      </c>
      <c r="E38" s="54">
        <f t="shared" si="11"/>
        <v>969382.64000000432</v>
      </c>
      <c r="F38" s="54">
        <f t="shared" si="12"/>
        <v>20561208.270000003</v>
      </c>
      <c r="G38" s="54">
        <f t="shared" si="13"/>
        <v>1857939.9999999963</v>
      </c>
      <c r="H38" s="54">
        <f>H39</f>
        <v>22419148.27</v>
      </c>
      <c r="I38" s="149">
        <f t="shared" si="14"/>
        <v>1.0903614211578625</v>
      </c>
    </row>
    <row r="39" spans="2:9" x14ac:dyDescent="0.2">
      <c r="B39" s="214" t="s">
        <v>103</v>
      </c>
      <c r="C39" s="214"/>
      <c r="D39" s="54">
        <v>19591825.629999999</v>
      </c>
      <c r="E39" s="54">
        <f t="shared" si="11"/>
        <v>969382.64000000432</v>
      </c>
      <c r="F39" s="54">
        <f t="shared" si="12"/>
        <v>20561208.270000003</v>
      </c>
      <c r="G39" s="54">
        <f t="shared" si="13"/>
        <v>1857939.9999999963</v>
      </c>
      <c r="H39" s="54">
        <f>H40+H71+H101+H122+H128+H139+H155+H171+H177</f>
        <v>22419148.27</v>
      </c>
      <c r="I39" s="149">
        <f t="shared" si="14"/>
        <v>1.0903614211578625</v>
      </c>
    </row>
    <row r="40" spans="2:9" x14ac:dyDescent="0.2">
      <c r="B40" s="213" t="s">
        <v>104</v>
      </c>
      <c r="C40" s="213"/>
      <c r="D40" s="57">
        <v>16389220.66</v>
      </c>
      <c r="E40" s="57">
        <f>E41+E46+E48+E55+E59+E65</f>
        <v>574589.51999999932</v>
      </c>
      <c r="F40" s="57">
        <f>F41+F46+F48+F55+F59+F65</f>
        <v>16963810.18</v>
      </c>
      <c r="G40" s="57">
        <f>H40-F40</f>
        <v>1458416.5999999978</v>
      </c>
      <c r="H40" s="57">
        <f>H41+H48+H59+H65</f>
        <v>18422226.779999997</v>
      </c>
      <c r="I40" s="152">
        <f>H40/F40</f>
        <v>1.0859722305617072</v>
      </c>
    </row>
    <row r="41" spans="2:9" x14ac:dyDescent="0.2">
      <c r="B41" s="210" t="s">
        <v>83</v>
      </c>
      <c r="C41" s="210"/>
      <c r="D41" s="55">
        <v>721613.91</v>
      </c>
      <c r="E41" s="55">
        <f>F41-D41</f>
        <v>0</v>
      </c>
      <c r="F41" s="55">
        <f>F44+F45</f>
        <v>721613.91</v>
      </c>
      <c r="G41" s="55">
        <f>H41-F41</f>
        <v>0</v>
      </c>
      <c r="H41" s="55">
        <f>H42</f>
        <v>721613.91</v>
      </c>
      <c r="I41" s="150">
        <f>H41/F41</f>
        <v>1</v>
      </c>
    </row>
    <row r="42" spans="2:9" x14ac:dyDescent="0.2">
      <c r="B42" s="211" t="s">
        <v>105</v>
      </c>
      <c r="C42" s="211"/>
      <c r="D42" s="56">
        <v>721613.91</v>
      </c>
      <c r="E42" s="56">
        <f t="shared" ref="E42:E43" si="15">F42-D42</f>
        <v>0</v>
      </c>
      <c r="F42" s="56">
        <f>F43</f>
        <v>721613.91</v>
      </c>
      <c r="G42" s="56">
        <f>H42-F42</f>
        <v>0</v>
      </c>
      <c r="H42" s="56">
        <f>H43</f>
        <v>721613.91</v>
      </c>
      <c r="I42" s="151">
        <f>H42/F42</f>
        <v>1</v>
      </c>
    </row>
    <row r="43" spans="2:9" x14ac:dyDescent="0.2">
      <c r="B43" s="211" t="s">
        <v>106</v>
      </c>
      <c r="C43" s="211"/>
      <c r="D43" s="56">
        <v>721613.91</v>
      </c>
      <c r="E43" s="56">
        <f t="shared" si="15"/>
        <v>0</v>
      </c>
      <c r="F43" s="56">
        <f>F44+F45</f>
        <v>721613.91</v>
      </c>
      <c r="G43" s="56">
        <f t="shared" ref="G43:G45" si="16">H43-F43</f>
        <v>0</v>
      </c>
      <c r="H43" s="56">
        <f>H44+H45</f>
        <v>721613.91</v>
      </c>
      <c r="I43" s="151">
        <f t="shared" ref="I43:I45" si="17">H43/F43</f>
        <v>1</v>
      </c>
    </row>
    <row r="44" spans="2:9" x14ac:dyDescent="0.2">
      <c r="B44" s="51" t="s">
        <v>107</v>
      </c>
      <c r="C44" s="51" t="s">
        <v>25</v>
      </c>
      <c r="D44" s="56">
        <v>638529.43000000005</v>
      </c>
      <c r="E44" s="56">
        <f>F44-D44</f>
        <v>14657.479999999981</v>
      </c>
      <c r="F44" s="56">
        <v>653186.91</v>
      </c>
      <c r="G44" s="56">
        <f t="shared" si="16"/>
        <v>0</v>
      </c>
      <c r="H44" s="56">
        <f>F44</f>
        <v>653186.91</v>
      </c>
      <c r="I44" s="151">
        <f t="shared" si="17"/>
        <v>1</v>
      </c>
    </row>
    <row r="45" spans="2:9" x14ac:dyDescent="0.2">
      <c r="B45" s="51" t="s">
        <v>108</v>
      </c>
      <c r="C45" s="51" t="s">
        <v>35</v>
      </c>
      <c r="D45" s="56">
        <v>83084.479999999996</v>
      </c>
      <c r="E45" s="56">
        <f>F45-D45</f>
        <v>-14657.479999999996</v>
      </c>
      <c r="F45" s="56">
        <v>68427</v>
      </c>
      <c r="G45" s="56">
        <f t="shared" si="16"/>
        <v>0</v>
      </c>
      <c r="H45" s="56">
        <f>F45</f>
        <v>68427</v>
      </c>
      <c r="I45" s="151">
        <f t="shared" si="17"/>
        <v>1</v>
      </c>
    </row>
    <row r="46" spans="2:9" x14ac:dyDescent="0.2">
      <c r="B46" s="210" t="s">
        <v>109</v>
      </c>
      <c r="C46" s="210"/>
      <c r="D46" s="55">
        <v>0</v>
      </c>
      <c r="E46" s="55">
        <v>0</v>
      </c>
      <c r="F46" s="55">
        <v>0</v>
      </c>
      <c r="G46" s="55"/>
      <c r="H46" s="55"/>
      <c r="I46" s="150"/>
    </row>
    <row r="47" spans="2:9" x14ac:dyDescent="0.2">
      <c r="B47" s="51" t="s">
        <v>107</v>
      </c>
      <c r="C47" s="51" t="s">
        <v>25</v>
      </c>
      <c r="D47" s="56">
        <v>0</v>
      </c>
      <c r="E47" s="56">
        <v>0</v>
      </c>
      <c r="F47" s="56">
        <v>0</v>
      </c>
      <c r="G47" s="56"/>
      <c r="H47" s="56"/>
      <c r="I47" s="151"/>
    </row>
    <row r="48" spans="2:9" x14ac:dyDescent="0.2">
      <c r="B48" s="210" t="s">
        <v>86</v>
      </c>
      <c r="C48" s="210"/>
      <c r="D48" s="55">
        <v>230274.07</v>
      </c>
      <c r="E48" s="55">
        <f>F48-D48</f>
        <v>45271.890000000014</v>
      </c>
      <c r="F48" s="55">
        <f>SUM(F51:F54)</f>
        <v>275545.96000000002</v>
      </c>
      <c r="G48" s="55">
        <f>H48-F48</f>
        <v>-17104.399999999994</v>
      </c>
      <c r="H48" s="55">
        <f>H49</f>
        <v>258441.56000000003</v>
      </c>
      <c r="I48" s="150">
        <f>H48/F48</f>
        <v>0.93792541904806015</v>
      </c>
    </row>
    <row r="49" spans="2:9" x14ac:dyDescent="0.2">
      <c r="B49" s="211" t="s">
        <v>105</v>
      </c>
      <c r="C49" s="211"/>
      <c r="D49" s="56">
        <v>230274.07</v>
      </c>
      <c r="E49" s="56">
        <f t="shared" ref="E49:E50" si="18">F49-D49</f>
        <v>45271.890000000014</v>
      </c>
      <c r="F49" s="56">
        <f>F50</f>
        <v>275545.96000000002</v>
      </c>
      <c r="G49" s="56">
        <f>H49-F49</f>
        <v>-17104.399999999994</v>
      </c>
      <c r="H49" s="56">
        <f>H50</f>
        <v>258441.56000000003</v>
      </c>
      <c r="I49" s="151">
        <f>H49/F49</f>
        <v>0.93792541904806015</v>
      </c>
    </row>
    <row r="50" spans="2:9" x14ac:dyDescent="0.2">
      <c r="B50" s="211" t="s">
        <v>106</v>
      </c>
      <c r="C50" s="211"/>
      <c r="D50" s="56">
        <v>230274.07</v>
      </c>
      <c r="E50" s="56">
        <f t="shared" si="18"/>
        <v>45271.890000000014</v>
      </c>
      <c r="F50" s="56">
        <f>F51+F52+F53</f>
        <v>275545.96000000002</v>
      </c>
      <c r="G50" s="56">
        <f t="shared" ref="G50:G54" si="19">H50-F50</f>
        <v>-17104.399999999994</v>
      </c>
      <c r="H50" s="56">
        <f>H51+H52+H53+H54</f>
        <v>258441.56000000003</v>
      </c>
      <c r="I50" s="151">
        <f t="shared" ref="I50:I53" si="20">H50/F50</f>
        <v>0.93792541904806015</v>
      </c>
    </row>
    <row r="51" spans="2:9" x14ac:dyDescent="0.2">
      <c r="B51" s="51" t="s">
        <v>107</v>
      </c>
      <c r="C51" s="51" t="s">
        <v>25</v>
      </c>
      <c r="D51" s="56">
        <v>92109.63</v>
      </c>
      <c r="E51" s="56">
        <f>F51-D51</f>
        <v>49820.369999999995</v>
      </c>
      <c r="F51" s="56">
        <v>141930</v>
      </c>
      <c r="G51" s="56">
        <f t="shared" si="19"/>
        <v>0</v>
      </c>
      <c r="H51" s="56">
        <f>F51</f>
        <v>141930</v>
      </c>
      <c r="I51" s="151">
        <f t="shared" si="20"/>
        <v>1</v>
      </c>
    </row>
    <row r="52" spans="2:9" x14ac:dyDescent="0.2">
      <c r="B52" s="51" t="s">
        <v>108</v>
      </c>
      <c r="C52" s="51" t="s">
        <v>35</v>
      </c>
      <c r="D52" s="56">
        <v>99674.83</v>
      </c>
      <c r="E52" s="56">
        <f t="shared" ref="E52:E55" si="21">F52-D52</f>
        <v>5601.1300000000047</v>
      </c>
      <c r="F52" s="56">
        <v>105275.96</v>
      </c>
      <c r="G52" s="56">
        <f t="shared" si="19"/>
        <v>0</v>
      </c>
      <c r="H52" s="56">
        <f>F52</f>
        <v>105275.96</v>
      </c>
      <c r="I52" s="151">
        <f t="shared" si="20"/>
        <v>1</v>
      </c>
    </row>
    <row r="53" spans="2:9" x14ac:dyDescent="0.2">
      <c r="B53" s="51" t="s">
        <v>110</v>
      </c>
      <c r="C53" s="51" t="s">
        <v>73</v>
      </c>
      <c r="D53" s="56">
        <v>38489.61</v>
      </c>
      <c r="E53" s="56">
        <f t="shared" si="21"/>
        <v>-10149.61</v>
      </c>
      <c r="F53" s="56">
        <v>28340</v>
      </c>
      <c r="G53" s="56">
        <f t="shared" si="19"/>
        <v>-17104.400000000001</v>
      </c>
      <c r="H53" s="56">
        <f>F53-17104.4</f>
        <v>11235.599999999999</v>
      </c>
      <c r="I53" s="151">
        <f t="shared" si="20"/>
        <v>0.39645730416372615</v>
      </c>
    </row>
    <row r="54" spans="2:9" x14ac:dyDescent="0.2">
      <c r="B54" s="51" t="s">
        <v>111</v>
      </c>
      <c r="C54" s="51" t="s">
        <v>112</v>
      </c>
      <c r="D54" s="56">
        <v>0</v>
      </c>
      <c r="E54" s="56">
        <f t="shared" si="21"/>
        <v>0</v>
      </c>
      <c r="F54" s="56">
        <v>0</v>
      </c>
      <c r="G54" s="56">
        <f t="shared" si="19"/>
        <v>0</v>
      </c>
      <c r="H54" s="56"/>
      <c r="I54" s="151"/>
    </row>
    <row r="55" spans="2:9" hidden="1" x14ac:dyDescent="0.2">
      <c r="B55" s="210" t="s">
        <v>113</v>
      </c>
      <c r="C55" s="210"/>
      <c r="D55" s="55">
        <v>0</v>
      </c>
      <c r="E55" s="55">
        <f t="shared" si="21"/>
        <v>0</v>
      </c>
      <c r="F55" s="55">
        <v>0</v>
      </c>
      <c r="G55" s="55"/>
      <c r="H55" s="55"/>
      <c r="I55" s="150"/>
    </row>
    <row r="56" spans="2:9" hidden="1" x14ac:dyDescent="0.2">
      <c r="B56" s="51" t="s">
        <v>107</v>
      </c>
      <c r="C56" s="51" t="s">
        <v>25</v>
      </c>
      <c r="D56" s="56">
        <v>0</v>
      </c>
      <c r="E56" s="56">
        <f>F56-D56</f>
        <v>0</v>
      </c>
      <c r="F56" s="56">
        <v>0</v>
      </c>
      <c r="G56" s="56"/>
      <c r="H56" s="56"/>
      <c r="I56" s="151"/>
    </row>
    <row r="57" spans="2:9" hidden="1" x14ac:dyDescent="0.2">
      <c r="B57" s="51" t="s">
        <v>108</v>
      </c>
      <c r="C57" s="51" t="s">
        <v>35</v>
      </c>
      <c r="D57" s="56">
        <v>0</v>
      </c>
      <c r="E57" s="56">
        <f t="shared" ref="E57:E58" si="22">F57-D57</f>
        <v>0</v>
      </c>
      <c r="F57" s="56">
        <v>0</v>
      </c>
      <c r="G57" s="56"/>
      <c r="H57" s="56"/>
      <c r="I57" s="151"/>
    </row>
    <row r="58" spans="2:9" hidden="1" x14ac:dyDescent="0.2">
      <c r="B58" s="51" t="s">
        <v>110</v>
      </c>
      <c r="C58" s="51" t="s">
        <v>73</v>
      </c>
      <c r="D58" s="56">
        <v>0</v>
      </c>
      <c r="E58" s="56">
        <f t="shared" si="22"/>
        <v>0</v>
      </c>
      <c r="F58" s="56">
        <v>0</v>
      </c>
      <c r="G58" s="56"/>
      <c r="H58" s="56"/>
      <c r="I58" s="151"/>
    </row>
    <row r="59" spans="2:9" x14ac:dyDescent="0.2">
      <c r="B59" s="210" t="s">
        <v>93</v>
      </c>
      <c r="C59" s="210"/>
      <c r="D59" s="55">
        <v>15070354.109999999</v>
      </c>
      <c r="E59" s="55">
        <f>F59-D59</f>
        <v>563096.19999999925</v>
      </c>
      <c r="F59" s="55">
        <f>SUM(F62:F64)</f>
        <v>15633450.309999999</v>
      </c>
      <c r="G59" s="55">
        <f>H59-F59</f>
        <v>825721</v>
      </c>
      <c r="H59" s="55">
        <f>H60</f>
        <v>16459171.309999999</v>
      </c>
      <c r="I59" s="150">
        <f>H59/F59</f>
        <v>1.052817579205265</v>
      </c>
    </row>
    <row r="60" spans="2:9" x14ac:dyDescent="0.2">
      <c r="B60" s="211" t="s">
        <v>105</v>
      </c>
      <c r="C60" s="211"/>
      <c r="D60" s="56">
        <v>15070354.109999999</v>
      </c>
      <c r="E60" s="56">
        <f>F60-D60</f>
        <v>563096.19999999925</v>
      </c>
      <c r="F60" s="56">
        <f>F61</f>
        <v>15633450.309999999</v>
      </c>
      <c r="G60" s="56">
        <f>H60-F60</f>
        <v>825721</v>
      </c>
      <c r="H60" s="56">
        <f>H61</f>
        <v>16459171.309999999</v>
      </c>
      <c r="I60" s="151">
        <f>H60/F60</f>
        <v>1.052817579205265</v>
      </c>
    </row>
    <row r="61" spans="2:9" x14ac:dyDescent="0.2">
      <c r="B61" s="211" t="s">
        <v>106</v>
      </c>
      <c r="C61" s="211"/>
      <c r="D61" s="56">
        <v>15070354.109999999</v>
      </c>
      <c r="E61" s="56">
        <f>F61-D61</f>
        <v>563096.19999999925</v>
      </c>
      <c r="F61" s="56">
        <f>F62+F63+F64</f>
        <v>15633450.309999999</v>
      </c>
      <c r="G61" s="56">
        <f t="shared" ref="G61:G64" si="23">H61-F61</f>
        <v>825721</v>
      </c>
      <c r="H61" s="56">
        <f>H62+H63</f>
        <v>16459171.309999999</v>
      </c>
      <c r="I61" s="151">
        <f t="shared" ref="I61:I63" si="24">H61/F61</f>
        <v>1.052817579205265</v>
      </c>
    </row>
    <row r="62" spans="2:9" x14ac:dyDescent="0.2">
      <c r="B62" s="51" t="s">
        <v>107</v>
      </c>
      <c r="C62" s="51" t="s">
        <v>25</v>
      </c>
      <c r="D62" s="56">
        <v>12484836.42</v>
      </c>
      <c r="E62" s="56">
        <f>F62-D62</f>
        <v>643339.25999999978</v>
      </c>
      <c r="F62" s="56">
        <v>13128175.68</v>
      </c>
      <c r="G62" s="56">
        <f t="shared" si="23"/>
        <v>781901</v>
      </c>
      <c r="H62" s="56">
        <v>13910076.68</v>
      </c>
      <c r="I62" s="151">
        <f t="shared" si="24"/>
        <v>1.0595589988326544</v>
      </c>
    </row>
    <row r="63" spans="2:9" x14ac:dyDescent="0.2">
      <c r="B63" s="51" t="s">
        <v>108</v>
      </c>
      <c r="C63" s="51" t="s">
        <v>35</v>
      </c>
      <c r="D63" s="56">
        <v>2585517.69</v>
      </c>
      <c r="E63" s="56">
        <f t="shared" ref="E63:E64" si="25">F63-D63</f>
        <v>-80243.060000000056</v>
      </c>
      <c r="F63" s="56">
        <v>2505274.63</v>
      </c>
      <c r="G63" s="56">
        <f t="shared" si="23"/>
        <v>43820</v>
      </c>
      <c r="H63" s="56">
        <f>1005905.37+1543189.26</f>
        <v>2549094.63</v>
      </c>
      <c r="I63" s="151">
        <f t="shared" si="24"/>
        <v>1.0174910963753303</v>
      </c>
    </row>
    <row r="64" spans="2:9" x14ac:dyDescent="0.2">
      <c r="B64" s="51" t="s">
        <v>110</v>
      </c>
      <c r="C64" s="51" t="s">
        <v>73</v>
      </c>
      <c r="D64" s="56">
        <v>0</v>
      </c>
      <c r="E64" s="56">
        <f t="shared" si="25"/>
        <v>0</v>
      </c>
      <c r="F64" s="56">
        <v>0</v>
      </c>
      <c r="G64" s="56">
        <f t="shared" si="23"/>
        <v>0</v>
      </c>
      <c r="H64" s="56"/>
      <c r="I64" s="151"/>
    </row>
    <row r="65" spans="2:9" x14ac:dyDescent="0.2">
      <c r="B65" s="210" t="s">
        <v>95</v>
      </c>
      <c r="C65" s="210"/>
      <c r="D65" s="55">
        <v>366978.57</v>
      </c>
      <c r="E65" s="55">
        <f>F65-D65</f>
        <v>-33778.570000000007</v>
      </c>
      <c r="F65" s="55">
        <f>SUM(F68:F70)</f>
        <v>333200</v>
      </c>
      <c r="G65" s="55">
        <f>H65-F65</f>
        <v>649800</v>
      </c>
      <c r="H65" s="55">
        <f>H66</f>
        <v>983000</v>
      </c>
      <c r="I65" s="150">
        <f>H65/F65</f>
        <v>2.9501800720288114</v>
      </c>
    </row>
    <row r="66" spans="2:9" x14ac:dyDescent="0.2">
      <c r="B66" s="211" t="s">
        <v>105</v>
      </c>
      <c r="C66" s="211"/>
      <c r="D66" s="56">
        <v>366978.57</v>
      </c>
      <c r="E66" s="56">
        <f>F66-D66</f>
        <v>-33778.570000000007</v>
      </c>
      <c r="F66" s="56">
        <f>F67</f>
        <v>333200</v>
      </c>
      <c r="G66" s="56">
        <f>H66-F66</f>
        <v>649800</v>
      </c>
      <c r="H66" s="56">
        <f>H67</f>
        <v>983000</v>
      </c>
      <c r="I66" s="151">
        <f>H66/F66</f>
        <v>2.9501800720288114</v>
      </c>
    </row>
    <row r="67" spans="2:9" x14ac:dyDescent="0.2">
      <c r="B67" s="211" t="s">
        <v>106</v>
      </c>
      <c r="C67" s="211"/>
      <c r="D67" s="56">
        <v>366978.57</v>
      </c>
      <c r="E67" s="56">
        <f>F67-D67</f>
        <v>-33778.570000000007</v>
      </c>
      <c r="F67" s="56">
        <f>F68+F69+F70</f>
        <v>333200</v>
      </c>
      <c r="G67" s="56">
        <f t="shared" ref="G67:G70" si="26">H67-F67</f>
        <v>649800</v>
      </c>
      <c r="H67" s="56">
        <f>H68+H69+H70</f>
        <v>983000</v>
      </c>
      <c r="I67" s="151">
        <f t="shared" ref="I67:I70" si="27">H67/F67</f>
        <v>2.9501800720288114</v>
      </c>
    </row>
    <row r="68" spans="2:9" x14ac:dyDescent="0.2">
      <c r="B68" s="51" t="s">
        <v>107</v>
      </c>
      <c r="C68" s="51" t="s">
        <v>25</v>
      </c>
      <c r="D68" s="56">
        <v>281637.8</v>
      </c>
      <c r="E68" s="56">
        <f>F68-D68</f>
        <v>11402.200000000012</v>
      </c>
      <c r="F68" s="56">
        <v>293040</v>
      </c>
      <c r="G68" s="56">
        <f t="shared" si="26"/>
        <v>530960</v>
      </c>
      <c r="H68" s="56">
        <v>824000</v>
      </c>
      <c r="I68" s="151">
        <f t="shared" si="27"/>
        <v>2.811902811902812</v>
      </c>
    </row>
    <row r="69" spans="2:9" x14ac:dyDescent="0.2">
      <c r="B69" s="51" t="s">
        <v>108</v>
      </c>
      <c r="C69" s="51" t="s">
        <v>35</v>
      </c>
      <c r="D69" s="56">
        <v>69414.03</v>
      </c>
      <c r="E69" s="56">
        <f t="shared" ref="E69:E70" si="28">F69-D69</f>
        <v>-40454.03</v>
      </c>
      <c r="F69" s="56">
        <v>28960</v>
      </c>
      <c r="G69" s="56">
        <f t="shared" si="26"/>
        <v>82040</v>
      </c>
      <c r="H69" s="56">
        <v>111000</v>
      </c>
      <c r="I69" s="151">
        <f t="shared" si="27"/>
        <v>3.8328729281767955</v>
      </c>
    </row>
    <row r="70" spans="2:9" x14ac:dyDescent="0.2">
      <c r="B70" s="51" t="s">
        <v>110</v>
      </c>
      <c r="C70" s="51" t="s">
        <v>73</v>
      </c>
      <c r="D70" s="56">
        <v>15926.74</v>
      </c>
      <c r="E70" s="56">
        <f t="shared" si="28"/>
        <v>-4726.74</v>
      </c>
      <c r="F70" s="56">
        <v>11200</v>
      </c>
      <c r="G70" s="56">
        <f t="shared" si="26"/>
        <v>36800</v>
      </c>
      <c r="H70" s="56">
        <v>48000</v>
      </c>
      <c r="I70" s="151">
        <f t="shared" si="27"/>
        <v>4.2857142857142856</v>
      </c>
    </row>
    <row r="71" spans="2:9" x14ac:dyDescent="0.2">
      <c r="B71" s="213" t="s">
        <v>114</v>
      </c>
      <c r="C71" s="213"/>
      <c r="D71" s="57">
        <v>1907643.11</v>
      </c>
      <c r="E71" s="57">
        <f>E72+E76+E78+E83+E89+E96</f>
        <v>16964.550000000017</v>
      </c>
      <c r="F71" s="57">
        <f>F72+F76+F78+F83+F89+F96</f>
        <v>1924607.6600000001</v>
      </c>
      <c r="G71" s="57">
        <f>H71-F71</f>
        <v>17104.399999999907</v>
      </c>
      <c r="H71" s="57">
        <f>H72+H76+H78+H89+H96</f>
        <v>1941712.06</v>
      </c>
      <c r="I71" s="152">
        <f>H71/F71</f>
        <v>1.0088872139270193</v>
      </c>
    </row>
    <row r="72" spans="2:9" x14ac:dyDescent="0.2">
      <c r="B72" s="210" t="s">
        <v>83</v>
      </c>
      <c r="C72" s="210"/>
      <c r="D72" s="55">
        <v>224529.83</v>
      </c>
      <c r="E72" s="55">
        <f>F72-D72</f>
        <v>0</v>
      </c>
      <c r="F72" s="55">
        <f>F75</f>
        <v>224529.83</v>
      </c>
      <c r="G72" s="55">
        <f>H72-F72</f>
        <v>0</v>
      </c>
      <c r="H72" s="55">
        <f>H73</f>
        <v>224529.83</v>
      </c>
      <c r="I72" s="150">
        <f>H72/F72</f>
        <v>1</v>
      </c>
    </row>
    <row r="73" spans="2:9" x14ac:dyDescent="0.2">
      <c r="B73" s="211" t="s">
        <v>105</v>
      </c>
      <c r="C73" s="211"/>
      <c r="D73" s="56">
        <v>224529.83</v>
      </c>
      <c r="E73" s="56">
        <f>F73-D73</f>
        <v>0</v>
      </c>
      <c r="F73" s="56">
        <f>F74</f>
        <v>224529.83</v>
      </c>
      <c r="G73" s="56">
        <f>H73-F73</f>
        <v>0</v>
      </c>
      <c r="H73" s="56">
        <f>H74</f>
        <v>224529.83</v>
      </c>
      <c r="I73" s="151">
        <f>H73/F73</f>
        <v>1</v>
      </c>
    </row>
    <row r="74" spans="2:9" x14ac:dyDescent="0.2">
      <c r="B74" s="211" t="s">
        <v>106</v>
      </c>
      <c r="C74" s="211"/>
      <c r="D74" s="56">
        <v>224529.83</v>
      </c>
      <c r="E74" s="56">
        <f>F74-D74</f>
        <v>0</v>
      </c>
      <c r="F74" s="56">
        <f>F75</f>
        <v>224529.83</v>
      </c>
      <c r="G74" s="56">
        <f t="shared" ref="G74:G75" si="29">H74-F74</f>
        <v>0</v>
      </c>
      <c r="H74" s="56">
        <f>H75</f>
        <v>224529.83</v>
      </c>
      <c r="I74" s="151">
        <f t="shared" ref="I74:I75" si="30">H74/F74</f>
        <v>1</v>
      </c>
    </row>
    <row r="75" spans="2:9" x14ac:dyDescent="0.2">
      <c r="B75" s="51" t="s">
        <v>115</v>
      </c>
      <c r="C75" s="51" t="s">
        <v>49</v>
      </c>
      <c r="D75" s="56">
        <v>224529.83</v>
      </c>
      <c r="E75" s="56">
        <f>D75-F75</f>
        <v>0</v>
      </c>
      <c r="F75" s="56">
        <v>224529.83</v>
      </c>
      <c r="G75" s="56">
        <f t="shared" si="29"/>
        <v>0</v>
      </c>
      <c r="H75" s="56">
        <v>224529.83</v>
      </c>
      <c r="I75" s="151">
        <f t="shared" si="30"/>
        <v>1</v>
      </c>
    </row>
    <row r="76" spans="2:9" x14ac:dyDescent="0.2">
      <c r="B76" s="210" t="s">
        <v>109</v>
      </c>
      <c r="C76" s="210"/>
      <c r="D76" s="55">
        <v>0</v>
      </c>
      <c r="E76" s="55">
        <f>E77</f>
        <v>0</v>
      </c>
      <c r="F76" s="55">
        <f>F77</f>
        <v>0</v>
      </c>
      <c r="G76" s="55"/>
      <c r="H76" s="55"/>
      <c r="I76" s="150"/>
    </row>
    <row r="77" spans="2:9" x14ac:dyDescent="0.2">
      <c r="B77" s="51" t="s">
        <v>115</v>
      </c>
      <c r="C77" s="51" t="s">
        <v>49</v>
      </c>
      <c r="D77" s="56">
        <v>0</v>
      </c>
      <c r="E77" s="56">
        <v>0</v>
      </c>
      <c r="F77" s="56">
        <v>0</v>
      </c>
      <c r="G77" s="56"/>
      <c r="H77" s="56"/>
      <c r="I77" s="151"/>
    </row>
    <row r="78" spans="2:9" x14ac:dyDescent="0.2">
      <c r="B78" s="210" t="s">
        <v>86</v>
      </c>
      <c r="C78" s="210"/>
      <c r="D78" s="55">
        <v>13272.28</v>
      </c>
      <c r="E78" s="55">
        <f>F78-D78</f>
        <v>1201.7599999999984</v>
      </c>
      <c r="F78" s="55">
        <f>SUM(F81:F82)</f>
        <v>14474.039999999999</v>
      </c>
      <c r="G78" s="55">
        <f>H78-F78</f>
        <v>17104.400000000001</v>
      </c>
      <c r="H78" s="55">
        <f>H79</f>
        <v>31578.440000000002</v>
      </c>
      <c r="I78" s="150">
        <f>H78/F78</f>
        <v>2.1817294963949254</v>
      </c>
    </row>
    <row r="79" spans="2:9" x14ac:dyDescent="0.2">
      <c r="B79" s="211" t="s">
        <v>105</v>
      </c>
      <c r="C79" s="211"/>
      <c r="D79" s="56">
        <v>13272.28</v>
      </c>
      <c r="E79" s="56">
        <f t="shared" ref="E79:E80" si="31">F79-D79</f>
        <v>1201.7599999999984</v>
      </c>
      <c r="F79" s="56">
        <f>F80</f>
        <v>14474.039999999999</v>
      </c>
      <c r="G79" s="56">
        <f>H79-F79</f>
        <v>17104.400000000001</v>
      </c>
      <c r="H79" s="56">
        <f>H80</f>
        <v>31578.440000000002</v>
      </c>
      <c r="I79" s="177">
        <f t="shared" ref="I79:I94" si="32">H79/F79</f>
        <v>2.1817294963949254</v>
      </c>
    </row>
    <row r="80" spans="2:9" x14ac:dyDescent="0.2">
      <c r="B80" s="211" t="s">
        <v>106</v>
      </c>
      <c r="C80" s="211"/>
      <c r="D80" s="56">
        <v>13272.28</v>
      </c>
      <c r="E80" s="56">
        <f t="shared" si="31"/>
        <v>1201.7599999999984</v>
      </c>
      <c r="F80" s="56">
        <f>F81+F82</f>
        <v>14474.039999999999</v>
      </c>
      <c r="G80" s="56">
        <f t="shared" ref="G80:G82" si="33">H80-F80</f>
        <v>17104.400000000001</v>
      </c>
      <c r="H80" s="56">
        <f>H81+H82</f>
        <v>31578.440000000002</v>
      </c>
      <c r="I80" s="177">
        <f t="shared" si="32"/>
        <v>2.1817294963949254</v>
      </c>
    </row>
    <row r="81" spans="2:9" x14ac:dyDescent="0.2">
      <c r="B81" s="51" t="s">
        <v>116</v>
      </c>
      <c r="C81" s="51" t="s">
        <v>27</v>
      </c>
      <c r="D81" s="56">
        <v>1327.23</v>
      </c>
      <c r="E81" s="56">
        <f>F81-D81</f>
        <v>-0.92000000000007276</v>
      </c>
      <c r="F81" s="56">
        <v>1326.31</v>
      </c>
      <c r="G81" s="56">
        <f t="shared" si="33"/>
        <v>0</v>
      </c>
      <c r="H81" s="56">
        <f>F81</f>
        <v>1326.31</v>
      </c>
      <c r="I81" s="177">
        <f t="shared" si="32"/>
        <v>1</v>
      </c>
    </row>
    <row r="82" spans="2:9" x14ac:dyDescent="0.2">
      <c r="B82" s="51" t="s">
        <v>115</v>
      </c>
      <c r="C82" s="51" t="s">
        <v>49</v>
      </c>
      <c r="D82" s="56">
        <v>11945.05</v>
      </c>
      <c r="E82" s="56">
        <f>F82-D82</f>
        <v>1202.6800000000003</v>
      </c>
      <c r="F82" s="56">
        <v>13147.73</v>
      </c>
      <c r="G82" s="56">
        <f t="shared" si="33"/>
        <v>17104.400000000001</v>
      </c>
      <c r="H82" s="56">
        <v>30252.13</v>
      </c>
      <c r="I82" s="177">
        <f t="shared" si="32"/>
        <v>2.3009394017066067</v>
      </c>
    </row>
    <row r="83" spans="2:9" hidden="1" x14ac:dyDescent="0.2">
      <c r="B83" s="210" t="s">
        <v>113</v>
      </c>
      <c r="C83" s="210"/>
      <c r="D83" s="55">
        <v>0</v>
      </c>
      <c r="E83" s="55">
        <f>F83-D83</f>
        <v>0</v>
      </c>
      <c r="F83" s="55">
        <v>0</v>
      </c>
      <c r="G83" s="55"/>
      <c r="H83" s="55"/>
      <c r="I83" s="150" t="e">
        <f t="shared" si="32"/>
        <v>#DIV/0!</v>
      </c>
    </row>
    <row r="84" spans="2:9" hidden="1" x14ac:dyDescent="0.2">
      <c r="B84" s="51" t="s">
        <v>116</v>
      </c>
      <c r="C84" s="51" t="s">
        <v>27</v>
      </c>
      <c r="D84" s="56">
        <v>0</v>
      </c>
      <c r="E84" s="56">
        <f t="shared" ref="E84:E88" si="34">F84-D84</f>
        <v>0</v>
      </c>
      <c r="F84" s="56">
        <v>0</v>
      </c>
      <c r="G84" s="56"/>
      <c r="H84" s="56"/>
      <c r="I84" s="150" t="e">
        <f t="shared" si="32"/>
        <v>#DIV/0!</v>
      </c>
    </row>
    <row r="85" spans="2:9" hidden="1" x14ac:dyDescent="0.2">
      <c r="B85" s="51" t="s">
        <v>115</v>
      </c>
      <c r="C85" s="51" t="s">
        <v>49</v>
      </c>
      <c r="D85" s="56">
        <v>0</v>
      </c>
      <c r="E85" s="56">
        <f t="shared" si="34"/>
        <v>0</v>
      </c>
      <c r="F85" s="56">
        <v>0</v>
      </c>
      <c r="G85" s="56"/>
      <c r="H85" s="56"/>
      <c r="I85" s="150" t="e">
        <f t="shared" si="32"/>
        <v>#DIV/0!</v>
      </c>
    </row>
    <row r="86" spans="2:9" hidden="1" x14ac:dyDescent="0.2">
      <c r="B86" s="211" t="s">
        <v>105</v>
      </c>
      <c r="C86" s="211"/>
      <c r="D86" s="56">
        <v>0</v>
      </c>
      <c r="E86" s="56">
        <f t="shared" si="34"/>
        <v>0</v>
      </c>
      <c r="F86" s="56">
        <v>0</v>
      </c>
      <c r="G86" s="56"/>
      <c r="H86" s="56"/>
      <c r="I86" s="150" t="e">
        <f t="shared" si="32"/>
        <v>#DIV/0!</v>
      </c>
    </row>
    <row r="87" spans="2:9" hidden="1" x14ac:dyDescent="0.2">
      <c r="B87" s="211" t="s">
        <v>106</v>
      </c>
      <c r="C87" s="211"/>
      <c r="D87" s="56">
        <v>0</v>
      </c>
      <c r="E87" s="56">
        <f t="shared" si="34"/>
        <v>0</v>
      </c>
      <c r="F87" s="56">
        <v>0</v>
      </c>
      <c r="G87" s="56"/>
      <c r="H87" s="56"/>
      <c r="I87" s="150" t="e">
        <f t="shared" si="32"/>
        <v>#DIV/0!</v>
      </c>
    </row>
    <row r="88" spans="2:9" hidden="1" x14ac:dyDescent="0.2">
      <c r="B88" s="51" t="s">
        <v>108</v>
      </c>
      <c r="C88" s="51" t="s">
        <v>35</v>
      </c>
      <c r="D88" s="56">
        <v>0</v>
      </c>
      <c r="E88" s="56">
        <f t="shared" si="34"/>
        <v>0</v>
      </c>
      <c r="F88" s="56">
        <v>0</v>
      </c>
      <c r="G88" s="56"/>
      <c r="H88" s="56"/>
      <c r="I88" s="150" t="e">
        <f t="shared" si="32"/>
        <v>#DIV/0!</v>
      </c>
    </row>
    <row r="89" spans="2:9" x14ac:dyDescent="0.2">
      <c r="B89" s="210" t="s">
        <v>84</v>
      </c>
      <c r="C89" s="210"/>
      <c r="D89" s="55">
        <v>1656303.27</v>
      </c>
      <c r="E89" s="55">
        <f>F89-D89</f>
        <v>0.52000000001862645</v>
      </c>
      <c r="F89" s="55">
        <f>SUM(F92:F95)</f>
        <v>1656303.79</v>
      </c>
      <c r="G89" s="55">
        <f>H89-F89</f>
        <v>0</v>
      </c>
      <c r="H89" s="55">
        <f>H90</f>
        <v>1656303.79</v>
      </c>
      <c r="I89" s="150">
        <f t="shared" si="32"/>
        <v>1</v>
      </c>
    </row>
    <row r="90" spans="2:9" x14ac:dyDescent="0.2">
      <c r="B90" s="211" t="s">
        <v>105</v>
      </c>
      <c r="C90" s="211"/>
      <c r="D90" s="56">
        <v>1656303.27</v>
      </c>
      <c r="E90" s="56">
        <f>F90-D90</f>
        <v>0.52000000001862645</v>
      </c>
      <c r="F90" s="56">
        <f>F91</f>
        <v>1656303.79</v>
      </c>
      <c r="G90" s="56">
        <f>H90-F90</f>
        <v>0</v>
      </c>
      <c r="H90" s="56">
        <f>H91</f>
        <v>1656303.79</v>
      </c>
      <c r="I90" s="177">
        <f t="shared" si="32"/>
        <v>1</v>
      </c>
    </row>
    <row r="91" spans="2:9" x14ac:dyDescent="0.2">
      <c r="B91" s="211" t="s">
        <v>106</v>
      </c>
      <c r="C91" s="211"/>
      <c r="D91" s="56">
        <v>1656303.27</v>
      </c>
      <c r="E91" s="56">
        <f>F91-D91</f>
        <v>0.52000000001862645</v>
      </c>
      <c r="F91" s="56">
        <f>F92+F93+F94+F95</f>
        <v>1656303.79</v>
      </c>
      <c r="G91" s="56">
        <f t="shared" ref="G91:G94" si="35">H91-F91</f>
        <v>0</v>
      </c>
      <c r="H91" s="56">
        <f>H92+H93+H94</f>
        <v>1656303.79</v>
      </c>
      <c r="I91" s="177">
        <f t="shared" si="32"/>
        <v>1</v>
      </c>
    </row>
    <row r="92" spans="2:9" x14ac:dyDescent="0.2">
      <c r="B92" s="51" t="s">
        <v>108</v>
      </c>
      <c r="C92" s="51" t="s">
        <v>35</v>
      </c>
      <c r="D92" s="56">
        <v>640973.78</v>
      </c>
      <c r="E92" s="56">
        <f>F92-D92</f>
        <v>-29862.109999999986</v>
      </c>
      <c r="F92" s="56">
        <v>611111.67000000004</v>
      </c>
      <c r="G92" s="56">
        <f t="shared" si="35"/>
        <v>0</v>
      </c>
      <c r="H92" s="56">
        <v>611111.67000000004</v>
      </c>
      <c r="I92" s="177">
        <f t="shared" si="32"/>
        <v>1</v>
      </c>
    </row>
    <row r="93" spans="2:9" x14ac:dyDescent="0.2">
      <c r="B93" s="51" t="s">
        <v>116</v>
      </c>
      <c r="C93" s="51" t="s">
        <v>27</v>
      </c>
      <c r="D93" s="56">
        <v>238901.06</v>
      </c>
      <c r="E93" s="56">
        <f t="shared" ref="E93:E95" si="36">F93-D93</f>
        <v>29862.630000000005</v>
      </c>
      <c r="F93" s="56">
        <v>268763.69</v>
      </c>
      <c r="G93" s="56">
        <f t="shared" si="35"/>
        <v>-29447.869999999995</v>
      </c>
      <c r="H93" s="56">
        <v>239315.82</v>
      </c>
      <c r="I93" s="177">
        <f t="shared" si="32"/>
        <v>0.89043211156983293</v>
      </c>
    </row>
    <row r="94" spans="2:9" x14ac:dyDescent="0.2">
      <c r="B94" s="51" t="s">
        <v>115</v>
      </c>
      <c r="C94" s="51" t="s">
        <v>49</v>
      </c>
      <c r="D94" s="56">
        <v>776428.43</v>
      </c>
      <c r="E94" s="56">
        <f t="shared" si="36"/>
        <v>0</v>
      </c>
      <c r="F94" s="56">
        <v>776428.43</v>
      </c>
      <c r="G94" s="56">
        <f t="shared" si="35"/>
        <v>29447.869999999995</v>
      </c>
      <c r="H94" s="56">
        <f>776428.43+29447.87</f>
        <v>805876.3</v>
      </c>
      <c r="I94" s="177">
        <f t="shared" si="32"/>
        <v>1.0379273463749905</v>
      </c>
    </row>
    <row r="95" spans="2:9" x14ac:dyDescent="0.2">
      <c r="B95" s="51" t="s">
        <v>117</v>
      </c>
      <c r="C95" s="51" t="s">
        <v>118</v>
      </c>
      <c r="D95" s="56">
        <v>0</v>
      </c>
      <c r="E95" s="56">
        <f t="shared" si="36"/>
        <v>0</v>
      </c>
      <c r="F95" s="56">
        <v>0</v>
      </c>
      <c r="G95" s="56">
        <f>H95-F95</f>
        <v>0</v>
      </c>
      <c r="H95" s="56"/>
      <c r="I95" s="151"/>
    </row>
    <row r="96" spans="2:9" x14ac:dyDescent="0.2">
      <c r="B96" s="210" t="s">
        <v>98</v>
      </c>
      <c r="C96" s="210"/>
      <c r="D96" s="55">
        <v>13537.73</v>
      </c>
      <c r="E96" s="55">
        <f>F96-D96</f>
        <v>15762.27</v>
      </c>
      <c r="F96" s="55">
        <f>F99+F100</f>
        <v>29300</v>
      </c>
      <c r="G96" s="55">
        <f>H96-F96</f>
        <v>0</v>
      </c>
      <c r="H96" s="55">
        <f>H97</f>
        <v>29300</v>
      </c>
      <c r="I96" s="150">
        <f>H96/F96</f>
        <v>1</v>
      </c>
    </row>
    <row r="97" spans="2:9" x14ac:dyDescent="0.2">
      <c r="B97" s="211" t="s">
        <v>105</v>
      </c>
      <c r="C97" s="211"/>
      <c r="D97" s="56">
        <v>13537.73</v>
      </c>
      <c r="E97" s="56">
        <f>F97-D97</f>
        <v>15762.27</v>
      </c>
      <c r="F97" s="56">
        <f>F98</f>
        <v>29300</v>
      </c>
      <c r="G97" s="56">
        <f>H97-F97</f>
        <v>0</v>
      </c>
      <c r="H97" s="56">
        <f>H98</f>
        <v>29300</v>
      </c>
      <c r="I97" s="177">
        <f t="shared" ref="I97:I100" si="37">H97/F97</f>
        <v>1</v>
      </c>
    </row>
    <row r="98" spans="2:9" x14ac:dyDescent="0.2">
      <c r="B98" s="211" t="s">
        <v>106</v>
      </c>
      <c r="C98" s="211"/>
      <c r="D98" s="56">
        <v>13537.73</v>
      </c>
      <c r="E98" s="56">
        <f>F98-D98</f>
        <v>15762.27</v>
      </c>
      <c r="F98" s="56">
        <f>F99+F100</f>
        <v>29300</v>
      </c>
      <c r="G98" s="56">
        <f t="shared" ref="G98:G100" si="38">H98-F98</f>
        <v>0</v>
      </c>
      <c r="H98" s="56">
        <f>H99+H100</f>
        <v>29300</v>
      </c>
      <c r="I98" s="177">
        <f t="shared" si="37"/>
        <v>1</v>
      </c>
    </row>
    <row r="99" spans="2:9" x14ac:dyDescent="0.2">
      <c r="B99" s="51" t="s">
        <v>108</v>
      </c>
      <c r="C99" s="51" t="s">
        <v>35</v>
      </c>
      <c r="D99" s="56">
        <v>13272.28</v>
      </c>
      <c r="E99" s="56">
        <f>F99-D99</f>
        <v>5727.7199999999993</v>
      </c>
      <c r="F99" s="56">
        <v>19000</v>
      </c>
      <c r="G99" s="56">
        <f t="shared" si="38"/>
        <v>0</v>
      </c>
      <c r="H99" s="56">
        <v>19000</v>
      </c>
      <c r="I99" s="177">
        <f t="shared" si="37"/>
        <v>1</v>
      </c>
    </row>
    <row r="100" spans="2:9" x14ac:dyDescent="0.2">
      <c r="B100" s="51" t="s">
        <v>115</v>
      </c>
      <c r="C100" s="51" t="s">
        <v>49</v>
      </c>
      <c r="D100" s="56">
        <v>265.45</v>
      </c>
      <c r="E100" s="56">
        <f>F100-D100</f>
        <v>10034.549999999999</v>
      </c>
      <c r="F100" s="56">
        <v>10300</v>
      </c>
      <c r="G100" s="56">
        <f t="shared" si="38"/>
        <v>0</v>
      </c>
      <c r="H100" s="56">
        <v>10300</v>
      </c>
      <c r="I100" s="177">
        <f t="shared" si="37"/>
        <v>1</v>
      </c>
    </row>
    <row r="101" spans="2:9" x14ac:dyDescent="0.2">
      <c r="B101" s="213" t="s">
        <v>119</v>
      </c>
      <c r="C101" s="213"/>
      <c r="D101" s="57">
        <v>451390.26</v>
      </c>
      <c r="E101" s="57">
        <f>E102+E107+E112+E117</f>
        <v>18815.61</v>
      </c>
      <c r="F101" s="57">
        <f>F102+F107+F112+F117</f>
        <v>470205.87</v>
      </c>
      <c r="G101" s="57">
        <f>H101-F101</f>
        <v>207819</v>
      </c>
      <c r="H101" s="57">
        <f>H102+H107+H117</f>
        <v>678024.87</v>
      </c>
      <c r="I101" s="152">
        <f>H101/F101</f>
        <v>1.4419744908756669</v>
      </c>
    </row>
    <row r="102" spans="2:9" x14ac:dyDescent="0.2">
      <c r="B102" s="210" t="s">
        <v>83</v>
      </c>
      <c r="C102" s="210"/>
      <c r="D102" s="55">
        <v>95825.87</v>
      </c>
      <c r="E102" s="55">
        <f>F102-D102</f>
        <v>0</v>
      </c>
      <c r="F102" s="55">
        <f>SUM(F105:F106)</f>
        <v>95825.87000000001</v>
      </c>
      <c r="G102" s="55">
        <f>H102-F102</f>
        <v>0</v>
      </c>
      <c r="H102" s="55">
        <f>H103</f>
        <v>95825.87000000001</v>
      </c>
      <c r="I102" s="150">
        <f>H102/F102</f>
        <v>1</v>
      </c>
    </row>
    <row r="103" spans="2:9" x14ac:dyDescent="0.2">
      <c r="B103" s="211" t="s">
        <v>105</v>
      </c>
      <c r="C103" s="211"/>
      <c r="D103" s="56">
        <v>95825.87</v>
      </c>
      <c r="E103" s="56">
        <f t="shared" ref="E103:E104" si="39">F103-D103</f>
        <v>0</v>
      </c>
      <c r="F103" s="56">
        <f>F104</f>
        <v>95825.87000000001</v>
      </c>
      <c r="G103" s="56">
        <f>H103-F103</f>
        <v>0</v>
      </c>
      <c r="H103" s="56">
        <f>H104</f>
        <v>95825.87000000001</v>
      </c>
      <c r="I103" s="177">
        <f t="shared" ref="I103:I121" si="40">H103/F103</f>
        <v>1</v>
      </c>
    </row>
    <row r="104" spans="2:9" x14ac:dyDescent="0.2">
      <c r="B104" s="211" t="s">
        <v>106</v>
      </c>
      <c r="C104" s="211"/>
      <c r="D104" s="56">
        <v>95825.87</v>
      </c>
      <c r="E104" s="56">
        <f t="shared" si="39"/>
        <v>0</v>
      </c>
      <c r="F104" s="56">
        <f>F105+F106</f>
        <v>95825.87000000001</v>
      </c>
      <c r="G104" s="56">
        <f t="shared" ref="G104:G106" si="41">H104-F104</f>
        <v>0</v>
      </c>
      <c r="H104" s="56">
        <f>H105+H106</f>
        <v>95825.87000000001</v>
      </c>
      <c r="I104" s="177">
        <f t="shared" si="40"/>
        <v>1</v>
      </c>
    </row>
    <row r="105" spans="2:9" x14ac:dyDescent="0.2">
      <c r="B105" s="51" t="s">
        <v>107</v>
      </c>
      <c r="C105" s="51" t="s">
        <v>25</v>
      </c>
      <c r="D105" s="56">
        <v>91578.74</v>
      </c>
      <c r="E105" s="56">
        <f>F105-D105</f>
        <v>0</v>
      </c>
      <c r="F105" s="56">
        <v>91578.74</v>
      </c>
      <c r="G105" s="56">
        <f t="shared" si="41"/>
        <v>0</v>
      </c>
      <c r="H105" s="56">
        <f>F105</f>
        <v>91578.74</v>
      </c>
      <c r="I105" s="177">
        <f t="shared" si="40"/>
        <v>1</v>
      </c>
    </row>
    <row r="106" spans="2:9" x14ac:dyDescent="0.2">
      <c r="B106" s="51" t="s">
        <v>108</v>
      </c>
      <c r="C106" s="51" t="s">
        <v>35</v>
      </c>
      <c r="D106" s="56">
        <v>4247.13</v>
      </c>
      <c r="E106" s="56">
        <f>F106-D106</f>
        <v>0</v>
      </c>
      <c r="F106" s="56">
        <v>4247.13</v>
      </c>
      <c r="G106" s="56">
        <f t="shared" si="41"/>
        <v>0</v>
      </c>
      <c r="H106" s="56">
        <f>F106</f>
        <v>4247.13</v>
      </c>
      <c r="I106" s="177">
        <f t="shared" si="40"/>
        <v>1</v>
      </c>
    </row>
    <row r="107" spans="2:9" x14ac:dyDescent="0.2">
      <c r="B107" s="210" t="s">
        <v>93</v>
      </c>
      <c r="C107" s="210"/>
      <c r="D107" s="55">
        <v>279381.5</v>
      </c>
      <c r="E107" s="55">
        <f>F107-D107</f>
        <v>14618.5</v>
      </c>
      <c r="F107" s="55">
        <f>SUM(F110:F111)</f>
        <v>294000</v>
      </c>
      <c r="G107" s="55">
        <f>H107-F107</f>
        <v>202989</v>
      </c>
      <c r="H107" s="55">
        <f>H108</f>
        <v>496989</v>
      </c>
      <c r="I107" s="150">
        <f t="shared" si="40"/>
        <v>1.6904387755102042</v>
      </c>
    </row>
    <row r="108" spans="2:9" x14ac:dyDescent="0.2">
      <c r="B108" s="211" t="s">
        <v>105</v>
      </c>
      <c r="C108" s="211"/>
      <c r="D108" s="56">
        <v>279381.5</v>
      </c>
      <c r="E108" s="56">
        <f t="shared" ref="E108:E109" si="42">F108-D108</f>
        <v>14618.5</v>
      </c>
      <c r="F108" s="56">
        <f>F109</f>
        <v>294000</v>
      </c>
      <c r="G108" s="56">
        <f>H108-F108</f>
        <v>202989</v>
      </c>
      <c r="H108" s="56">
        <f>H109</f>
        <v>496989</v>
      </c>
      <c r="I108" s="177">
        <f t="shared" si="40"/>
        <v>1.6904387755102042</v>
      </c>
    </row>
    <row r="109" spans="2:9" x14ac:dyDescent="0.2">
      <c r="B109" s="211" t="s">
        <v>106</v>
      </c>
      <c r="C109" s="211"/>
      <c r="D109" s="56">
        <v>279381.5</v>
      </c>
      <c r="E109" s="56">
        <f t="shared" si="42"/>
        <v>14618.5</v>
      </c>
      <c r="F109" s="56">
        <f>F110+F111</f>
        <v>294000</v>
      </c>
      <c r="G109" s="56">
        <f t="shared" ref="G109:G111" si="43">H109-F109</f>
        <v>202989</v>
      </c>
      <c r="H109" s="56">
        <f>H110+H111</f>
        <v>496989</v>
      </c>
      <c r="I109" s="177">
        <f t="shared" si="40"/>
        <v>1.6904387755102042</v>
      </c>
    </row>
    <row r="110" spans="2:9" x14ac:dyDescent="0.2">
      <c r="B110" s="51" t="s">
        <v>107</v>
      </c>
      <c r="C110" s="51" t="s">
        <v>25</v>
      </c>
      <c r="D110" s="56">
        <v>267436.45</v>
      </c>
      <c r="E110" s="56">
        <f>F110-D110</f>
        <v>14563.549999999988</v>
      </c>
      <c r="F110" s="56">
        <v>282000</v>
      </c>
      <c r="G110" s="56">
        <f t="shared" si="43"/>
        <v>202989</v>
      </c>
      <c r="H110" s="56">
        <v>484989</v>
      </c>
      <c r="I110" s="177">
        <f t="shared" si="40"/>
        <v>1.7198191489361703</v>
      </c>
    </row>
    <row r="111" spans="2:9" x14ac:dyDescent="0.2">
      <c r="B111" s="51" t="s">
        <v>108</v>
      </c>
      <c r="C111" s="51" t="s">
        <v>35</v>
      </c>
      <c r="D111" s="56">
        <v>11945.05</v>
      </c>
      <c r="E111" s="56">
        <f>F111-D111</f>
        <v>54.950000000000728</v>
      </c>
      <c r="F111" s="56">
        <v>12000</v>
      </c>
      <c r="G111" s="56">
        <f t="shared" si="43"/>
        <v>0</v>
      </c>
      <c r="H111" s="56">
        <v>12000</v>
      </c>
      <c r="I111" s="177">
        <f t="shared" si="40"/>
        <v>1</v>
      </c>
    </row>
    <row r="112" spans="2:9" hidden="1" x14ac:dyDescent="0.2">
      <c r="B112" s="210" t="s">
        <v>120</v>
      </c>
      <c r="C112" s="210"/>
      <c r="D112" s="55">
        <v>0</v>
      </c>
      <c r="E112" s="55">
        <v>0</v>
      </c>
      <c r="F112" s="55">
        <v>0</v>
      </c>
      <c r="G112" s="55"/>
      <c r="H112" s="55"/>
      <c r="I112" s="150" t="e">
        <f t="shared" si="40"/>
        <v>#DIV/0!</v>
      </c>
    </row>
    <row r="113" spans="2:9" hidden="1" x14ac:dyDescent="0.2">
      <c r="B113" s="211" t="s">
        <v>105</v>
      </c>
      <c r="C113" s="211"/>
      <c r="D113" s="56">
        <v>0</v>
      </c>
      <c r="E113" s="56">
        <v>0</v>
      </c>
      <c r="F113" s="56">
        <v>0</v>
      </c>
      <c r="G113" s="56"/>
      <c r="H113" s="56"/>
      <c r="I113" s="150" t="e">
        <f t="shared" si="40"/>
        <v>#DIV/0!</v>
      </c>
    </row>
    <row r="114" spans="2:9" hidden="1" x14ac:dyDescent="0.2">
      <c r="B114" s="211" t="s">
        <v>106</v>
      </c>
      <c r="C114" s="211"/>
      <c r="D114" s="56">
        <v>0</v>
      </c>
      <c r="E114" s="56">
        <v>0</v>
      </c>
      <c r="F114" s="56">
        <v>0</v>
      </c>
      <c r="G114" s="56"/>
      <c r="H114" s="56"/>
      <c r="I114" s="150" t="e">
        <f t="shared" si="40"/>
        <v>#DIV/0!</v>
      </c>
    </row>
    <row r="115" spans="2:9" hidden="1" x14ac:dyDescent="0.2">
      <c r="B115" s="51" t="s">
        <v>107</v>
      </c>
      <c r="C115" s="51" t="s">
        <v>25</v>
      </c>
      <c r="D115" s="56">
        <v>0</v>
      </c>
      <c r="E115" s="56">
        <v>0</v>
      </c>
      <c r="F115" s="56">
        <v>0</v>
      </c>
      <c r="G115" s="56"/>
      <c r="H115" s="56"/>
      <c r="I115" s="150" t="e">
        <f t="shared" si="40"/>
        <v>#DIV/0!</v>
      </c>
    </row>
    <row r="116" spans="2:9" hidden="1" x14ac:dyDescent="0.2">
      <c r="B116" s="51" t="s">
        <v>108</v>
      </c>
      <c r="C116" s="51" t="s">
        <v>35</v>
      </c>
      <c r="D116" s="56">
        <v>0</v>
      </c>
      <c r="E116" s="56">
        <v>0</v>
      </c>
      <c r="F116" s="56">
        <v>0</v>
      </c>
      <c r="G116" s="56"/>
      <c r="H116" s="56"/>
      <c r="I116" s="150" t="e">
        <f t="shared" si="40"/>
        <v>#DIV/0!</v>
      </c>
    </row>
    <row r="117" spans="2:9" x14ac:dyDescent="0.2">
      <c r="B117" s="210" t="s">
        <v>95</v>
      </c>
      <c r="C117" s="210"/>
      <c r="D117" s="55">
        <v>76182.89</v>
      </c>
      <c r="E117" s="55">
        <f>F117-D117</f>
        <v>4197.1100000000006</v>
      </c>
      <c r="F117" s="55">
        <f>SUM(F120:F121)</f>
        <v>80380</v>
      </c>
      <c r="G117" s="55">
        <f>H117-F117</f>
        <v>4830</v>
      </c>
      <c r="H117" s="55">
        <f>H118</f>
        <v>85210</v>
      </c>
      <c r="I117" s="150">
        <f t="shared" si="40"/>
        <v>1.060089574521025</v>
      </c>
    </row>
    <row r="118" spans="2:9" x14ac:dyDescent="0.2">
      <c r="B118" s="211" t="s">
        <v>105</v>
      </c>
      <c r="C118" s="211"/>
      <c r="D118" s="56">
        <v>76182.89</v>
      </c>
      <c r="E118" s="56">
        <f>F118-D118</f>
        <v>4197.1100000000006</v>
      </c>
      <c r="F118" s="56">
        <f>F119</f>
        <v>80380</v>
      </c>
      <c r="G118" s="56">
        <f>H118-F118</f>
        <v>4830</v>
      </c>
      <c r="H118" s="56">
        <f>H119</f>
        <v>85210</v>
      </c>
      <c r="I118" s="177">
        <f t="shared" si="40"/>
        <v>1.060089574521025</v>
      </c>
    </row>
    <row r="119" spans="2:9" x14ac:dyDescent="0.2">
      <c r="B119" s="211" t="s">
        <v>106</v>
      </c>
      <c r="C119" s="211"/>
      <c r="D119" s="56">
        <v>76182.89</v>
      </c>
      <c r="E119" s="56">
        <f>F119-D119</f>
        <v>4197.1100000000006</v>
      </c>
      <c r="F119" s="56">
        <f>F120+F121</f>
        <v>80380</v>
      </c>
      <c r="G119" s="56">
        <f t="shared" ref="G119:G121" si="44">H119-F119</f>
        <v>4830</v>
      </c>
      <c r="H119" s="56">
        <f>H120+H121</f>
        <v>85210</v>
      </c>
      <c r="I119" s="177">
        <f t="shared" si="40"/>
        <v>1.060089574521025</v>
      </c>
    </row>
    <row r="120" spans="2:9" x14ac:dyDescent="0.2">
      <c r="B120" s="51" t="s">
        <v>107</v>
      </c>
      <c r="C120" s="51" t="s">
        <v>25</v>
      </c>
      <c r="D120" s="56">
        <v>70873.98</v>
      </c>
      <c r="E120" s="56">
        <f>F120-D120</f>
        <v>4506.0200000000041</v>
      </c>
      <c r="F120" s="56">
        <v>75380</v>
      </c>
      <c r="G120" s="56">
        <f t="shared" si="44"/>
        <v>3530</v>
      </c>
      <c r="H120" s="56">
        <v>78910</v>
      </c>
      <c r="I120" s="177">
        <f t="shared" si="40"/>
        <v>1.0468293977182277</v>
      </c>
    </row>
    <row r="121" spans="2:9" x14ac:dyDescent="0.2">
      <c r="B121" s="51" t="s">
        <v>108</v>
      </c>
      <c r="C121" s="51" t="s">
        <v>35</v>
      </c>
      <c r="D121" s="56">
        <v>5308.91</v>
      </c>
      <c r="E121" s="56">
        <f>F121-D121</f>
        <v>-308.90999999999985</v>
      </c>
      <c r="F121" s="56">
        <v>5000</v>
      </c>
      <c r="G121" s="56">
        <f t="shared" si="44"/>
        <v>1300</v>
      </c>
      <c r="H121" s="56">
        <v>6300</v>
      </c>
      <c r="I121" s="177">
        <f t="shared" si="40"/>
        <v>1.26</v>
      </c>
    </row>
    <row r="122" spans="2:9" x14ac:dyDescent="0.2">
      <c r="B122" s="213" t="s">
        <v>121</v>
      </c>
      <c r="C122" s="213"/>
      <c r="D122" s="57">
        <v>13272.28</v>
      </c>
      <c r="E122" s="57">
        <f>E123</f>
        <v>0</v>
      </c>
      <c r="F122" s="57">
        <f>F123</f>
        <v>13272.28</v>
      </c>
      <c r="G122" s="57">
        <f>H122-F122</f>
        <v>0</v>
      </c>
      <c r="H122" s="57">
        <f>H123</f>
        <v>13272.28</v>
      </c>
      <c r="I122" s="152">
        <f>H122/F122</f>
        <v>1</v>
      </c>
    </row>
    <row r="123" spans="2:9" x14ac:dyDescent="0.2">
      <c r="B123" s="210" t="s">
        <v>83</v>
      </c>
      <c r="C123" s="210"/>
      <c r="D123" s="55">
        <v>13272.28</v>
      </c>
      <c r="E123" s="55">
        <f>F123-D123</f>
        <v>0</v>
      </c>
      <c r="F123" s="55">
        <f>SUM(F126:F127)</f>
        <v>13272.28</v>
      </c>
      <c r="G123" s="55">
        <f>H123-F123</f>
        <v>0</v>
      </c>
      <c r="H123" s="55">
        <f>H124</f>
        <v>13272.28</v>
      </c>
      <c r="I123" s="150">
        <f>H123/F123</f>
        <v>1</v>
      </c>
    </row>
    <row r="124" spans="2:9" x14ac:dyDescent="0.2">
      <c r="B124" s="211" t="s">
        <v>105</v>
      </c>
      <c r="C124" s="211"/>
      <c r="D124" s="56">
        <v>13272.28</v>
      </c>
      <c r="E124" s="56">
        <f>F124-D124</f>
        <v>0</v>
      </c>
      <c r="F124" s="56">
        <f>F125</f>
        <v>13272.28</v>
      </c>
      <c r="G124" s="56">
        <f>H124-F124</f>
        <v>0</v>
      </c>
      <c r="H124" s="56">
        <f>H125</f>
        <v>13272.28</v>
      </c>
      <c r="I124" s="151">
        <f>H124/F124</f>
        <v>1</v>
      </c>
    </row>
    <row r="125" spans="2:9" x14ac:dyDescent="0.2">
      <c r="B125" s="211" t="s">
        <v>106</v>
      </c>
      <c r="C125" s="211"/>
      <c r="D125" s="56">
        <v>13272.28</v>
      </c>
      <c r="E125" s="56">
        <f>F125-D125</f>
        <v>0</v>
      </c>
      <c r="F125" s="56">
        <f>F126+F127</f>
        <v>13272.28</v>
      </c>
      <c r="G125" s="56">
        <f t="shared" ref="G125:G127" si="45">H125-F125</f>
        <v>0</v>
      </c>
      <c r="H125" s="56">
        <f>H126+H127</f>
        <v>13272.28</v>
      </c>
      <c r="I125" s="151">
        <f t="shared" ref="I125:I127" si="46">H125/F125</f>
        <v>1</v>
      </c>
    </row>
    <row r="126" spans="2:9" x14ac:dyDescent="0.2">
      <c r="B126" s="51" t="s">
        <v>107</v>
      </c>
      <c r="C126" s="51" t="s">
        <v>25</v>
      </c>
      <c r="D126" s="56">
        <v>12608.67</v>
      </c>
      <c r="E126" s="56">
        <f>F126-D126</f>
        <v>0</v>
      </c>
      <c r="F126" s="56">
        <v>12608.67</v>
      </c>
      <c r="G126" s="56">
        <f t="shared" si="45"/>
        <v>0</v>
      </c>
      <c r="H126" s="56">
        <f>F126</f>
        <v>12608.67</v>
      </c>
      <c r="I126" s="151">
        <f t="shared" si="46"/>
        <v>1</v>
      </c>
    </row>
    <row r="127" spans="2:9" x14ac:dyDescent="0.2">
      <c r="B127" s="51" t="s">
        <v>108</v>
      </c>
      <c r="C127" s="51" t="s">
        <v>35</v>
      </c>
      <c r="D127" s="56">
        <v>663.61</v>
      </c>
      <c r="E127" s="56">
        <f>F127-D127</f>
        <v>0</v>
      </c>
      <c r="F127" s="56">
        <v>663.61</v>
      </c>
      <c r="G127" s="56">
        <f t="shared" si="45"/>
        <v>0</v>
      </c>
      <c r="H127" s="56">
        <f>F127</f>
        <v>663.61</v>
      </c>
      <c r="I127" s="151">
        <f t="shared" si="46"/>
        <v>1</v>
      </c>
    </row>
    <row r="128" spans="2:9" x14ac:dyDescent="0.2">
      <c r="B128" s="213" t="s">
        <v>122</v>
      </c>
      <c r="C128" s="213"/>
      <c r="D128" s="57">
        <v>26530</v>
      </c>
      <c r="E128" s="57">
        <f>E129+E134</f>
        <v>13272.28</v>
      </c>
      <c r="F128" s="57">
        <f>F129+F134</f>
        <v>39802.28</v>
      </c>
      <c r="G128" s="57">
        <f>H128-F128</f>
        <v>0</v>
      </c>
      <c r="H128" s="57">
        <f>H129+H134</f>
        <v>39802.28</v>
      </c>
      <c r="I128" s="152">
        <f>H128/F128</f>
        <v>1</v>
      </c>
    </row>
    <row r="129" spans="2:9" x14ac:dyDescent="0.2">
      <c r="B129" s="210" t="s">
        <v>85</v>
      </c>
      <c r="C129" s="210"/>
      <c r="D129" s="55">
        <v>26530</v>
      </c>
      <c r="E129" s="55">
        <f>F129-D129</f>
        <v>0</v>
      </c>
      <c r="F129" s="55">
        <f>SUM(F132:F133)</f>
        <v>26530</v>
      </c>
      <c r="G129" s="55">
        <f>H129-F129</f>
        <v>0</v>
      </c>
      <c r="H129" s="55">
        <f>H130</f>
        <v>26530</v>
      </c>
      <c r="I129" s="150">
        <f>H129/F129</f>
        <v>1</v>
      </c>
    </row>
    <row r="130" spans="2:9" x14ac:dyDescent="0.2">
      <c r="B130" s="211" t="s">
        <v>105</v>
      </c>
      <c r="C130" s="211"/>
      <c r="D130" s="56">
        <v>26530</v>
      </c>
      <c r="E130" s="56">
        <f t="shared" ref="E130:E131" si="47">F130-D130</f>
        <v>0</v>
      </c>
      <c r="F130" s="56">
        <f>F131</f>
        <v>26530</v>
      </c>
      <c r="G130" s="56">
        <f>H130-F130</f>
        <v>0</v>
      </c>
      <c r="H130" s="56">
        <f>H131</f>
        <v>26530</v>
      </c>
      <c r="I130" s="177">
        <f t="shared" ref="I130:I138" si="48">H130/F130</f>
        <v>1</v>
      </c>
    </row>
    <row r="131" spans="2:9" x14ac:dyDescent="0.2">
      <c r="B131" s="211" t="s">
        <v>106</v>
      </c>
      <c r="C131" s="211"/>
      <c r="D131" s="56">
        <v>26530</v>
      </c>
      <c r="E131" s="56">
        <f t="shared" si="47"/>
        <v>0</v>
      </c>
      <c r="F131" s="56">
        <f>F132+F133</f>
        <v>26530</v>
      </c>
      <c r="G131" s="56">
        <f t="shared" ref="G131:G133" si="49">H131-F131</f>
        <v>0</v>
      </c>
      <c r="H131" s="56">
        <f>H132+H133</f>
        <v>26530</v>
      </c>
      <c r="I131" s="177">
        <f t="shared" si="48"/>
        <v>1</v>
      </c>
    </row>
    <row r="132" spans="2:9" x14ac:dyDescent="0.2">
      <c r="B132" s="51" t="s">
        <v>108</v>
      </c>
      <c r="C132" s="51" t="s">
        <v>35</v>
      </c>
      <c r="D132" s="56">
        <v>26530</v>
      </c>
      <c r="E132" s="56">
        <f>F132-D132</f>
        <v>0</v>
      </c>
      <c r="F132" s="56">
        <v>26530</v>
      </c>
      <c r="G132" s="56">
        <f t="shared" si="49"/>
        <v>0</v>
      </c>
      <c r="H132" s="56">
        <v>26530</v>
      </c>
      <c r="I132" s="177">
        <f t="shared" si="48"/>
        <v>1</v>
      </c>
    </row>
    <row r="133" spans="2:9" x14ac:dyDescent="0.2">
      <c r="B133" s="51" t="s">
        <v>115</v>
      </c>
      <c r="C133" s="51" t="s">
        <v>49</v>
      </c>
      <c r="D133" s="56">
        <v>0</v>
      </c>
      <c r="E133" s="56">
        <f>F133-D133</f>
        <v>0</v>
      </c>
      <c r="F133" s="56">
        <v>0</v>
      </c>
      <c r="G133" s="56">
        <f t="shared" si="49"/>
        <v>0</v>
      </c>
      <c r="H133" s="56">
        <v>0</v>
      </c>
      <c r="I133" s="177"/>
    </row>
    <row r="134" spans="2:9" x14ac:dyDescent="0.2">
      <c r="B134" s="210" t="s">
        <v>131</v>
      </c>
      <c r="C134" s="210"/>
      <c r="D134" s="55">
        <v>0</v>
      </c>
      <c r="E134" s="55">
        <f>F134-D134</f>
        <v>13272.28</v>
      </c>
      <c r="F134" s="55">
        <f>SUM(F137:F138)</f>
        <v>13272.28</v>
      </c>
      <c r="G134" s="55">
        <f>H134-F134</f>
        <v>0</v>
      </c>
      <c r="H134" s="55">
        <f>H135</f>
        <v>13272.28</v>
      </c>
      <c r="I134" s="150">
        <f t="shared" si="48"/>
        <v>1</v>
      </c>
    </row>
    <row r="135" spans="2:9" x14ac:dyDescent="0.2">
      <c r="B135" s="211" t="s">
        <v>105</v>
      </c>
      <c r="C135" s="211"/>
      <c r="D135" s="56">
        <v>0</v>
      </c>
      <c r="E135" s="56">
        <f t="shared" ref="E135:E136" si="50">F135-D135</f>
        <v>13272.28</v>
      </c>
      <c r="F135" s="56">
        <f>F136</f>
        <v>13272.28</v>
      </c>
      <c r="G135" s="56">
        <f>H135-F135</f>
        <v>0</v>
      </c>
      <c r="H135" s="56">
        <f>H136</f>
        <v>13272.28</v>
      </c>
      <c r="I135" s="177">
        <f t="shared" si="48"/>
        <v>1</v>
      </c>
    </row>
    <row r="136" spans="2:9" x14ac:dyDescent="0.2">
      <c r="B136" s="211" t="s">
        <v>106</v>
      </c>
      <c r="C136" s="211"/>
      <c r="D136" s="56">
        <v>0</v>
      </c>
      <c r="E136" s="56">
        <f t="shared" si="50"/>
        <v>13272.28</v>
      </c>
      <c r="F136" s="56">
        <f>F138</f>
        <v>13272.28</v>
      </c>
      <c r="G136" s="56">
        <f t="shared" ref="G136:G138" si="51">H136-F136</f>
        <v>0</v>
      </c>
      <c r="H136" s="56">
        <f>H137+H138</f>
        <v>13272.28</v>
      </c>
      <c r="I136" s="177">
        <f t="shared" si="48"/>
        <v>1</v>
      </c>
    </row>
    <row r="137" spans="2:9" x14ac:dyDescent="0.2">
      <c r="B137" s="51" t="s">
        <v>108</v>
      </c>
      <c r="C137" s="51" t="s">
        <v>35</v>
      </c>
      <c r="D137" s="56">
        <v>0</v>
      </c>
      <c r="E137" s="56">
        <f>F137-D137</f>
        <v>0</v>
      </c>
      <c r="F137" s="56">
        <v>0</v>
      </c>
      <c r="G137" s="56">
        <f t="shared" si="51"/>
        <v>0</v>
      </c>
      <c r="H137" s="56">
        <v>0</v>
      </c>
      <c r="I137" s="177"/>
    </row>
    <row r="138" spans="2:9" x14ac:dyDescent="0.2">
      <c r="B138" s="51" t="s">
        <v>115</v>
      </c>
      <c r="C138" s="51" t="s">
        <v>49</v>
      </c>
      <c r="D138" s="56">
        <v>0</v>
      </c>
      <c r="E138" s="56">
        <f>F138-D138</f>
        <v>13272.28</v>
      </c>
      <c r="F138" s="56">
        <v>13272.28</v>
      </c>
      <c r="G138" s="56">
        <f t="shared" si="51"/>
        <v>0</v>
      </c>
      <c r="H138" s="56">
        <v>13272.28</v>
      </c>
      <c r="I138" s="177">
        <f t="shared" si="48"/>
        <v>1</v>
      </c>
    </row>
    <row r="139" spans="2:9" x14ac:dyDescent="0.2">
      <c r="B139" s="213" t="s">
        <v>123</v>
      </c>
      <c r="C139" s="213"/>
      <c r="D139" s="57">
        <v>178777.62</v>
      </c>
      <c r="E139" s="57">
        <f>E140+E145</f>
        <v>-44877.62000000001</v>
      </c>
      <c r="F139" s="57">
        <f>F140+F145</f>
        <v>133900</v>
      </c>
      <c r="G139" s="57">
        <f>H139-F139</f>
        <v>76100</v>
      </c>
      <c r="H139" s="57">
        <f>H140+H145+H150</f>
        <v>210000</v>
      </c>
      <c r="I139" s="152">
        <f>H139/F139</f>
        <v>1.568334578043316</v>
      </c>
    </row>
    <row r="140" spans="2:9" x14ac:dyDescent="0.2">
      <c r="B140" s="210" t="s">
        <v>95</v>
      </c>
      <c r="C140" s="210"/>
      <c r="D140" s="55">
        <v>26810.02</v>
      </c>
      <c r="E140" s="55">
        <f>F140-D140</f>
        <v>-6730.02</v>
      </c>
      <c r="F140" s="55">
        <f>SUM(F143:F144)</f>
        <v>20080</v>
      </c>
      <c r="G140" s="55">
        <f>H140-F140</f>
        <v>30920</v>
      </c>
      <c r="H140" s="55">
        <f>H141</f>
        <v>51000</v>
      </c>
      <c r="I140" s="150">
        <f>H140/F140</f>
        <v>2.5398406374501992</v>
      </c>
    </row>
    <row r="141" spans="2:9" x14ac:dyDescent="0.2">
      <c r="B141" s="211" t="s">
        <v>105</v>
      </c>
      <c r="C141" s="211"/>
      <c r="D141" s="56">
        <v>26810.02</v>
      </c>
      <c r="E141" s="56">
        <f t="shared" ref="E141:E142" si="52">F141-D141</f>
        <v>-6730.02</v>
      </c>
      <c r="F141" s="56">
        <f>F142</f>
        <v>20080</v>
      </c>
      <c r="G141" s="56">
        <f>H141-F141</f>
        <v>30920</v>
      </c>
      <c r="H141" s="56">
        <f>H142</f>
        <v>51000</v>
      </c>
      <c r="I141" s="177">
        <f t="shared" ref="I141:I149" si="53">H141/F141</f>
        <v>2.5398406374501992</v>
      </c>
    </row>
    <row r="142" spans="2:9" x14ac:dyDescent="0.2">
      <c r="B142" s="211" t="s">
        <v>106</v>
      </c>
      <c r="C142" s="211"/>
      <c r="D142" s="56">
        <v>26810.02</v>
      </c>
      <c r="E142" s="56">
        <f t="shared" si="52"/>
        <v>-6730.02</v>
      </c>
      <c r="F142" s="56">
        <f>F143+F144</f>
        <v>20080</v>
      </c>
      <c r="G142" s="56">
        <f t="shared" ref="G142:G144" si="54">H142-F142</f>
        <v>30920</v>
      </c>
      <c r="H142" s="56">
        <f>H143+H144</f>
        <v>51000</v>
      </c>
      <c r="I142" s="177">
        <f t="shared" si="53"/>
        <v>2.5398406374501992</v>
      </c>
    </row>
    <row r="143" spans="2:9" x14ac:dyDescent="0.2">
      <c r="B143" s="51" t="s">
        <v>107</v>
      </c>
      <c r="C143" s="51" t="s">
        <v>25</v>
      </c>
      <c r="D143" s="56">
        <v>23226.5</v>
      </c>
      <c r="E143" s="56">
        <f>F143-D143</f>
        <v>-14636.5</v>
      </c>
      <c r="F143" s="56">
        <v>8590</v>
      </c>
      <c r="G143" s="56">
        <f t="shared" si="54"/>
        <v>34760</v>
      </c>
      <c r="H143" s="56">
        <v>43350</v>
      </c>
      <c r="I143" s="177">
        <f t="shared" si="53"/>
        <v>5.0465657741559955</v>
      </c>
    </row>
    <row r="144" spans="2:9" x14ac:dyDescent="0.2">
      <c r="B144" s="51" t="s">
        <v>108</v>
      </c>
      <c r="C144" s="51" t="s">
        <v>35</v>
      </c>
      <c r="D144" s="56">
        <v>3583.52</v>
      </c>
      <c r="E144" s="56">
        <f>F144-D144</f>
        <v>7906.48</v>
      </c>
      <c r="F144" s="56">
        <v>11490</v>
      </c>
      <c r="G144" s="56">
        <f t="shared" si="54"/>
        <v>-3840</v>
      </c>
      <c r="H144" s="56">
        <v>7650</v>
      </c>
      <c r="I144" s="177">
        <f t="shared" si="53"/>
        <v>0.66579634464751958</v>
      </c>
    </row>
    <row r="145" spans="2:9" x14ac:dyDescent="0.2">
      <c r="B145" s="210" t="s">
        <v>96</v>
      </c>
      <c r="C145" s="210"/>
      <c r="D145" s="55">
        <v>151967.6</v>
      </c>
      <c r="E145" s="55">
        <f>F145-D145</f>
        <v>-38147.600000000006</v>
      </c>
      <c r="F145" s="55">
        <f>SUM(F148:F149)</f>
        <v>113820</v>
      </c>
      <c r="G145" s="55">
        <f>H145-F145</f>
        <v>45180</v>
      </c>
      <c r="H145" s="55">
        <f>H146</f>
        <v>159000</v>
      </c>
      <c r="I145" s="150">
        <f t="shared" si="53"/>
        <v>1.39694254085398</v>
      </c>
    </row>
    <row r="146" spans="2:9" x14ac:dyDescent="0.2">
      <c r="B146" s="211" t="s">
        <v>105</v>
      </c>
      <c r="C146" s="211"/>
      <c r="D146" s="56">
        <v>151967.6</v>
      </c>
      <c r="E146" s="56">
        <f t="shared" ref="E146:E147" si="55">F146-D146</f>
        <v>-38147.600000000006</v>
      </c>
      <c r="F146" s="56">
        <f>F147</f>
        <v>113820</v>
      </c>
      <c r="G146" s="56">
        <f>H146-F146</f>
        <v>45180</v>
      </c>
      <c r="H146" s="56">
        <f>H147</f>
        <v>159000</v>
      </c>
      <c r="I146" s="177">
        <f t="shared" si="53"/>
        <v>1.39694254085398</v>
      </c>
    </row>
    <row r="147" spans="2:9" x14ac:dyDescent="0.2">
      <c r="B147" s="211" t="s">
        <v>106</v>
      </c>
      <c r="C147" s="211"/>
      <c r="D147" s="56">
        <v>151967.6</v>
      </c>
      <c r="E147" s="56">
        <f t="shared" si="55"/>
        <v>-38147.600000000006</v>
      </c>
      <c r="F147" s="56">
        <f>F148+F149</f>
        <v>113820</v>
      </c>
      <c r="G147" s="56">
        <f t="shared" ref="G147:G149" si="56">H147-F147</f>
        <v>45180</v>
      </c>
      <c r="H147" s="56">
        <f>H148+H149</f>
        <v>159000</v>
      </c>
      <c r="I147" s="177">
        <f t="shared" si="53"/>
        <v>1.39694254085398</v>
      </c>
    </row>
    <row r="148" spans="2:9" x14ac:dyDescent="0.2">
      <c r="B148" s="51" t="s">
        <v>107</v>
      </c>
      <c r="C148" s="51" t="s">
        <v>25</v>
      </c>
      <c r="D148" s="56">
        <v>131661.01999999999</v>
      </c>
      <c r="E148" s="56">
        <f t="shared" ref="E148:E153" si="57">F148-D148</f>
        <v>-82971.01999999999</v>
      </c>
      <c r="F148" s="56">
        <v>48690</v>
      </c>
      <c r="G148" s="56">
        <f t="shared" si="56"/>
        <v>86460</v>
      </c>
      <c r="H148" s="56">
        <v>135150</v>
      </c>
      <c r="I148" s="177">
        <f t="shared" si="53"/>
        <v>2.775723967960567</v>
      </c>
    </row>
    <row r="149" spans="2:9" x14ac:dyDescent="0.2">
      <c r="B149" s="51" t="s">
        <v>108</v>
      </c>
      <c r="C149" s="51" t="s">
        <v>35</v>
      </c>
      <c r="D149" s="56">
        <v>20306.580000000002</v>
      </c>
      <c r="E149" s="56">
        <f t="shared" si="57"/>
        <v>44823.42</v>
      </c>
      <c r="F149" s="56">
        <v>65130</v>
      </c>
      <c r="G149" s="56">
        <f t="shared" si="56"/>
        <v>-41280</v>
      </c>
      <c r="H149" s="56">
        <v>23850</v>
      </c>
      <c r="I149" s="177">
        <f t="shared" si="53"/>
        <v>0.36619069553201289</v>
      </c>
    </row>
    <row r="150" spans="2:9" hidden="1" x14ac:dyDescent="0.2">
      <c r="B150" s="210" t="s">
        <v>86</v>
      </c>
      <c r="C150" s="210"/>
      <c r="D150" s="55"/>
      <c r="E150" s="55"/>
      <c r="F150" s="55">
        <f>SUM(F153:F154)</f>
        <v>0</v>
      </c>
      <c r="G150" s="55"/>
      <c r="H150" s="55">
        <f>H151</f>
        <v>0</v>
      </c>
      <c r="I150" s="150" t="e">
        <f t="shared" ref="I150:I154" si="58">F150/D150</f>
        <v>#DIV/0!</v>
      </c>
    </row>
    <row r="151" spans="2:9" hidden="1" x14ac:dyDescent="0.2">
      <c r="B151" s="211" t="s">
        <v>105</v>
      </c>
      <c r="C151" s="211"/>
      <c r="D151" s="56"/>
      <c r="E151" s="56">
        <f t="shared" si="57"/>
        <v>0</v>
      </c>
      <c r="F151" s="56">
        <f>F152</f>
        <v>0</v>
      </c>
      <c r="G151" s="56"/>
      <c r="H151" s="56"/>
      <c r="I151" s="151" t="e">
        <f t="shared" si="58"/>
        <v>#DIV/0!</v>
      </c>
    </row>
    <row r="152" spans="2:9" hidden="1" x14ac:dyDescent="0.2">
      <c r="B152" s="211" t="s">
        <v>125</v>
      </c>
      <c r="C152" s="211"/>
      <c r="D152" s="56"/>
      <c r="E152" s="56">
        <f t="shared" si="57"/>
        <v>0</v>
      </c>
      <c r="F152" s="56">
        <f>F153+F154</f>
        <v>0</v>
      </c>
      <c r="G152" s="56"/>
      <c r="H152" s="56"/>
      <c r="I152" s="151" t="e">
        <f t="shared" si="58"/>
        <v>#DIV/0!</v>
      </c>
    </row>
    <row r="153" spans="2:9" hidden="1" x14ac:dyDescent="0.2">
      <c r="B153" s="51" t="s">
        <v>107</v>
      </c>
      <c r="C153" s="51" t="s">
        <v>25</v>
      </c>
      <c r="D153" s="56"/>
      <c r="E153" s="56">
        <f t="shared" si="57"/>
        <v>0</v>
      </c>
      <c r="F153" s="56"/>
      <c r="G153" s="56"/>
      <c r="H153" s="56"/>
      <c r="I153" s="151" t="e">
        <f t="shared" si="58"/>
        <v>#DIV/0!</v>
      </c>
    </row>
    <row r="154" spans="2:9" hidden="1" x14ac:dyDescent="0.2">
      <c r="B154" s="51" t="s">
        <v>108</v>
      </c>
      <c r="C154" s="51" t="s">
        <v>35</v>
      </c>
      <c r="D154" s="56"/>
      <c r="E154" s="56">
        <f t="shared" ref="E154" si="59">F154-D154</f>
        <v>0</v>
      </c>
      <c r="F154" s="56"/>
      <c r="G154" s="56"/>
      <c r="H154" s="56"/>
      <c r="I154" s="151" t="e">
        <f t="shared" si="58"/>
        <v>#DIV/0!</v>
      </c>
    </row>
    <row r="155" spans="2:9" x14ac:dyDescent="0.2">
      <c r="B155" s="213" t="s">
        <v>124</v>
      </c>
      <c r="C155" s="213"/>
      <c r="D155" s="57">
        <v>624991.69999999995</v>
      </c>
      <c r="E155" s="57">
        <f>E156+E162+E167</f>
        <v>38508.30000000001</v>
      </c>
      <c r="F155" s="57">
        <f>F156+F162+F167</f>
        <v>663500</v>
      </c>
      <c r="G155" s="57">
        <f>H155-F155</f>
        <v>98500</v>
      </c>
      <c r="H155" s="57">
        <f>H156+H167</f>
        <v>762000</v>
      </c>
      <c r="I155" s="152">
        <f>H155/F155</f>
        <v>1.1484551620195931</v>
      </c>
    </row>
    <row r="156" spans="2:9" x14ac:dyDescent="0.2">
      <c r="B156" s="210" t="s">
        <v>86</v>
      </c>
      <c r="C156" s="210"/>
      <c r="D156" s="55">
        <v>23359.21</v>
      </c>
      <c r="E156" s="55">
        <f>F156-D156</f>
        <v>-11359.21</v>
      </c>
      <c r="F156" s="55">
        <f>SUM(F159:F161)</f>
        <v>12000</v>
      </c>
      <c r="G156" s="55">
        <f>H156-F156</f>
        <v>0</v>
      </c>
      <c r="H156" s="55">
        <f>H157</f>
        <v>12000</v>
      </c>
      <c r="I156" s="150">
        <f>H156/F156</f>
        <v>1</v>
      </c>
    </row>
    <row r="157" spans="2:9" x14ac:dyDescent="0.2">
      <c r="B157" s="211" t="s">
        <v>105</v>
      </c>
      <c r="C157" s="211"/>
      <c r="D157" s="56">
        <v>23359.21</v>
      </c>
      <c r="E157" s="56">
        <f>F157-D157</f>
        <v>-11359.21</v>
      </c>
      <c r="F157" s="56">
        <f>F158</f>
        <v>12000</v>
      </c>
      <c r="G157" s="56">
        <f>H157-F157</f>
        <v>0</v>
      </c>
      <c r="H157" s="56">
        <f>H158</f>
        <v>12000</v>
      </c>
      <c r="I157" s="177">
        <f t="shared" ref="I157:I170" si="60">H157/F157</f>
        <v>1</v>
      </c>
    </row>
    <row r="158" spans="2:9" x14ac:dyDescent="0.2">
      <c r="B158" s="211" t="s">
        <v>125</v>
      </c>
      <c r="C158" s="211"/>
      <c r="D158" s="56">
        <v>23359.21</v>
      </c>
      <c r="E158" s="56">
        <f>F158-D158</f>
        <v>-11359.21</v>
      </c>
      <c r="F158" s="56">
        <f>F159+F160</f>
        <v>12000</v>
      </c>
      <c r="G158" s="56">
        <f t="shared" ref="G158:G166" si="61">H158-F158</f>
        <v>0</v>
      </c>
      <c r="H158" s="56">
        <f>H159+H160+H161</f>
        <v>12000</v>
      </c>
      <c r="I158" s="177">
        <f t="shared" si="60"/>
        <v>1</v>
      </c>
    </row>
    <row r="159" spans="2:9" x14ac:dyDescent="0.2">
      <c r="B159" s="51" t="s">
        <v>107</v>
      </c>
      <c r="C159" s="51" t="s">
        <v>25</v>
      </c>
      <c r="D159" s="56">
        <v>6105.25</v>
      </c>
      <c r="E159" s="56">
        <f>F159-D159</f>
        <v>-4105.25</v>
      </c>
      <c r="F159" s="56">
        <v>2000</v>
      </c>
      <c r="G159" s="56">
        <f t="shared" si="61"/>
        <v>0</v>
      </c>
      <c r="H159" s="56">
        <v>2000</v>
      </c>
      <c r="I159" s="177">
        <f t="shared" si="60"/>
        <v>1</v>
      </c>
    </row>
    <row r="160" spans="2:9" x14ac:dyDescent="0.2">
      <c r="B160" s="51" t="s">
        <v>108</v>
      </c>
      <c r="C160" s="51" t="s">
        <v>35</v>
      </c>
      <c r="D160" s="56">
        <v>17253.96</v>
      </c>
      <c r="E160" s="56">
        <f t="shared" ref="E160:E161" si="62">F160-D160</f>
        <v>-7253.9599999999991</v>
      </c>
      <c r="F160" s="56">
        <v>10000</v>
      </c>
      <c r="G160" s="56">
        <f t="shared" si="61"/>
        <v>0</v>
      </c>
      <c r="H160" s="56">
        <v>10000</v>
      </c>
      <c r="I160" s="177">
        <f t="shared" si="60"/>
        <v>1</v>
      </c>
    </row>
    <row r="161" spans="2:9" x14ac:dyDescent="0.2">
      <c r="B161" s="51" t="s">
        <v>115</v>
      </c>
      <c r="C161" s="51" t="s">
        <v>49</v>
      </c>
      <c r="D161" s="56">
        <v>0</v>
      </c>
      <c r="E161" s="56">
        <f t="shared" si="62"/>
        <v>0</v>
      </c>
      <c r="F161" s="56">
        <v>0</v>
      </c>
      <c r="G161" s="56">
        <f t="shared" si="61"/>
        <v>0</v>
      </c>
      <c r="H161" s="56">
        <v>0</v>
      </c>
      <c r="I161" s="177"/>
    </row>
    <row r="162" spans="2:9" hidden="1" x14ac:dyDescent="0.2">
      <c r="B162" s="210" t="s">
        <v>93</v>
      </c>
      <c r="C162" s="210"/>
      <c r="D162" s="55">
        <v>0</v>
      </c>
      <c r="E162" s="55">
        <v>0</v>
      </c>
      <c r="F162" s="55">
        <v>0</v>
      </c>
      <c r="G162" s="56">
        <f t="shared" si="61"/>
        <v>0</v>
      </c>
      <c r="H162" s="55"/>
      <c r="I162" s="150" t="e">
        <f t="shared" si="60"/>
        <v>#DIV/0!</v>
      </c>
    </row>
    <row r="163" spans="2:9" hidden="1" x14ac:dyDescent="0.2">
      <c r="B163" s="211" t="s">
        <v>105</v>
      </c>
      <c r="C163" s="211"/>
      <c r="D163" s="56">
        <v>0</v>
      </c>
      <c r="E163" s="56">
        <v>0</v>
      </c>
      <c r="F163" s="56">
        <v>0</v>
      </c>
      <c r="G163" s="56">
        <f t="shared" si="61"/>
        <v>0</v>
      </c>
      <c r="H163" s="56"/>
      <c r="I163" s="150" t="e">
        <f t="shared" si="60"/>
        <v>#DIV/0!</v>
      </c>
    </row>
    <row r="164" spans="2:9" hidden="1" x14ac:dyDescent="0.2">
      <c r="B164" s="211" t="s">
        <v>125</v>
      </c>
      <c r="C164" s="211"/>
      <c r="D164" s="56">
        <v>0</v>
      </c>
      <c r="E164" s="56">
        <v>0</v>
      </c>
      <c r="F164" s="56">
        <v>0</v>
      </c>
      <c r="G164" s="56">
        <f t="shared" si="61"/>
        <v>0</v>
      </c>
      <c r="H164" s="56"/>
      <c r="I164" s="150" t="e">
        <f t="shared" si="60"/>
        <v>#DIV/0!</v>
      </c>
    </row>
    <row r="165" spans="2:9" hidden="1" x14ac:dyDescent="0.2">
      <c r="B165" s="51" t="s">
        <v>107</v>
      </c>
      <c r="C165" s="51" t="s">
        <v>25</v>
      </c>
      <c r="D165" s="56">
        <v>0</v>
      </c>
      <c r="E165" s="56">
        <v>0</v>
      </c>
      <c r="F165" s="56">
        <v>0</v>
      </c>
      <c r="G165" s="56">
        <f t="shared" si="61"/>
        <v>0</v>
      </c>
      <c r="H165" s="56"/>
      <c r="I165" s="150" t="e">
        <f t="shared" si="60"/>
        <v>#DIV/0!</v>
      </c>
    </row>
    <row r="166" spans="2:9" hidden="1" x14ac:dyDescent="0.2">
      <c r="B166" s="51" t="s">
        <v>108</v>
      </c>
      <c r="C166" s="51" t="s">
        <v>35</v>
      </c>
      <c r="D166" s="56">
        <v>0</v>
      </c>
      <c r="E166" s="56">
        <v>0</v>
      </c>
      <c r="F166" s="56">
        <v>0</v>
      </c>
      <c r="G166" s="56">
        <f t="shared" si="61"/>
        <v>0</v>
      </c>
      <c r="H166" s="56"/>
      <c r="I166" s="150" t="e">
        <f t="shared" si="60"/>
        <v>#DIV/0!</v>
      </c>
    </row>
    <row r="167" spans="2:9" x14ac:dyDescent="0.2">
      <c r="B167" s="210" t="s">
        <v>95</v>
      </c>
      <c r="C167" s="210"/>
      <c r="D167" s="55">
        <v>601632.49</v>
      </c>
      <c r="E167" s="55">
        <f>F167-D167</f>
        <v>49867.510000000009</v>
      </c>
      <c r="F167" s="55">
        <f>F170</f>
        <v>651500</v>
      </c>
      <c r="G167" s="55">
        <f>H167-F167</f>
        <v>98500</v>
      </c>
      <c r="H167" s="55">
        <f>H168</f>
        <v>750000</v>
      </c>
      <c r="I167" s="150">
        <f t="shared" si="60"/>
        <v>1.1511895625479662</v>
      </c>
    </row>
    <row r="168" spans="2:9" x14ac:dyDescent="0.2">
      <c r="B168" s="211" t="s">
        <v>105</v>
      </c>
      <c r="C168" s="211"/>
      <c r="D168" s="56">
        <v>601632.49</v>
      </c>
      <c r="E168" s="56">
        <f t="shared" ref="E168:E169" si="63">F168-D168</f>
        <v>49867.510000000009</v>
      </c>
      <c r="F168" s="56">
        <f>F169</f>
        <v>651500</v>
      </c>
      <c r="G168" s="56">
        <f>H168-F168</f>
        <v>98500</v>
      </c>
      <c r="H168" s="56">
        <f>H169</f>
        <v>750000</v>
      </c>
      <c r="I168" s="177">
        <f t="shared" si="60"/>
        <v>1.1511895625479662</v>
      </c>
    </row>
    <row r="169" spans="2:9" x14ac:dyDescent="0.2">
      <c r="B169" s="211" t="s">
        <v>125</v>
      </c>
      <c r="C169" s="211"/>
      <c r="D169" s="56">
        <v>601632.49</v>
      </c>
      <c r="E169" s="56">
        <f t="shared" si="63"/>
        <v>49867.510000000009</v>
      </c>
      <c r="F169" s="56">
        <f>F170</f>
        <v>651500</v>
      </c>
      <c r="G169" s="56">
        <f t="shared" ref="G169:G170" si="64">H169-F169</f>
        <v>98500</v>
      </c>
      <c r="H169" s="56">
        <f>H170</f>
        <v>750000</v>
      </c>
      <c r="I169" s="177">
        <f t="shared" si="60"/>
        <v>1.1511895625479662</v>
      </c>
    </row>
    <row r="170" spans="2:9" x14ac:dyDescent="0.2">
      <c r="B170" s="51" t="s">
        <v>107</v>
      </c>
      <c r="C170" s="51" t="s">
        <v>25</v>
      </c>
      <c r="D170" s="56">
        <v>601632.49</v>
      </c>
      <c r="E170" s="56">
        <f>F170-D170</f>
        <v>49867.510000000009</v>
      </c>
      <c r="F170" s="56">
        <v>651500</v>
      </c>
      <c r="G170" s="56">
        <f t="shared" si="64"/>
        <v>98500</v>
      </c>
      <c r="H170" s="56">
        <v>750000</v>
      </c>
      <c r="I170" s="177">
        <f t="shared" si="60"/>
        <v>1.1511895625479662</v>
      </c>
    </row>
    <row r="171" spans="2:9" x14ac:dyDescent="0.2">
      <c r="B171" s="213" t="s">
        <v>134</v>
      </c>
      <c r="C171" s="213"/>
      <c r="D171" s="57">
        <v>0</v>
      </c>
      <c r="E171" s="57">
        <f>E172</f>
        <v>301600</v>
      </c>
      <c r="F171" s="57">
        <f>F172</f>
        <v>301600</v>
      </c>
      <c r="G171" s="57">
        <f>H171-F171</f>
        <v>0</v>
      </c>
      <c r="H171" s="57">
        <f>H172</f>
        <v>301600</v>
      </c>
      <c r="I171" s="152">
        <f>H171/F171</f>
        <v>1</v>
      </c>
    </row>
    <row r="172" spans="2:9" x14ac:dyDescent="0.2">
      <c r="B172" s="210" t="s">
        <v>132</v>
      </c>
      <c r="C172" s="210"/>
      <c r="D172" s="55">
        <v>0</v>
      </c>
      <c r="E172" s="55">
        <f>F172-D172</f>
        <v>301600</v>
      </c>
      <c r="F172" s="55">
        <f>SUM(F175:F176)</f>
        <v>301600</v>
      </c>
      <c r="G172" s="55">
        <f>H172-F172</f>
        <v>0</v>
      </c>
      <c r="H172" s="55">
        <f>H173</f>
        <v>301600</v>
      </c>
      <c r="I172" s="150">
        <f>H172/F172</f>
        <v>1</v>
      </c>
    </row>
    <row r="173" spans="2:9" x14ac:dyDescent="0.2">
      <c r="B173" s="211" t="s">
        <v>105</v>
      </c>
      <c r="C173" s="211"/>
      <c r="D173" s="56">
        <v>0</v>
      </c>
      <c r="E173" s="56">
        <f>F173-D173</f>
        <v>301600</v>
      </c>
      <c r="F173" s="56">
        <f>F174</f>
        <v>301600</v>
      </c>
      <c r="G173" s="56">
        <f>H173-F173</f>
        <v>0</v>
      </c>
      <c r="H173" s="56">
        <f>H174</f>
        <v>301600</v>
      </c>
      <c r="I173" s="151">
        <f>H173/F173</f>
        <v>1</v>
      </c>
    </row>
    <row r="174" spans="2:9" x14ac:dyDescent="0.2">
      <c r="B174" s="211" t="s">
        <v>125</v>
      </c>
      <c r="C174" s="211"/>
      <c r="D174" s="56">
        <v>0</v>
      </c>
      <c r="E174" s="56">
        <f>F174-D174</f>
        <v>301600</v>
      </c>
      <c r="F174" s="56">
        <f>F175+F176</f>
        <v>301600</v>
      </c>
      <c r="G174" s="56">
        <f t="shared" ref="G174:G176" si="65">H174-F174</f>
        <v>0</v>
      </c>
      <c r="H174" s="56">
        <f>H175+H176</f>
        <v>301600</v>
      </c>
      <c r="I174" s="151">
        <f t="shared" ref="I174:I176" si="66">H174/F174</f>
        <v>1</v>
      </c>
    </row>
    <row r="175" spans="2:9" x14ac:dyDescent="0.2">
      <c r="B175" s="51" t="s">
        <v>107</v>
      </c>
      <c r="C175" s="51" t="s">
        <v>25</v>
      </c>
      <c r="D175" s="56">
        <v>0</v>
      </c>
      <c r="E175" s="56">
        <f>F175-D175</f>
        <v>221230</v>
      </c>
      <c r="F175" s="56">
        <v>221230</v>
      </c>
      <c r="G175" s="56">
        <f t="shared" si="65"/>
        <v>0</v>
      </c>
      <c r="H175" s="56">
        <v>221230</v>
      </c>
      <c r="I175" s="151">
        <f t="shared" si="66"/>
        <v>1</v>
      </c>
    </row>
    <row r="176" spans="2:9" x14ac:dyDescent="0.2">
      <c r="B176" s="147">
        <v>32</v>
      </c>
      <c r="C176" s="51" t="s">
        <v>35</v>
      </c>
      <c r="D176" s="56">
        <v>0</v>
      </c>
      <c r="E176" s="56">
        <f>F176-D176</f>
        <v>80370</v>
      </c>
      <c r="F176" s="56">
        <v>80370</v>
      </c>
      <c r="G176" s="56">
        <f t="shared" si="65"/>
        <v>0</v>
      </c>
      <c r="H176" s="56">
        <v>80370</v>
      </c>
      <c r="I176" s="151">
        <f t="shared" si="66"/>
        <v>1</v>
      </c>
    </row>
    <row r="177" spans="1:9" x14ac:dyDescent="0.2">
      <c r="B177" s="213" t="s">
        <v>133</v>
      </c>
      <c r="C177" s="213"/>
      <c r="D177" s="57">
        <v>0</v>
      </c>
      <c r="E177" s="57">
        <f>E178</f>
        <v>50510</v>
      </c>
      <c r="F177" s="57">
        <f>F178</f>
        <v>50510</v>
      </c>
      <c r="G177" s="57">
        <f>H177-F177</f>
        <v>0</v>
      </c>
      <c r="H177" s="57">
        <f>H178</f>
        <v>50510</v>
      </c>
      <c r="I177" s="152">
        <f>H177/F177</f>
        <v>1</v>
      </c>
    </row>
    <row r="178" spans="1:9" x14ac:dyDescent="0.2">
      <c r="B178" s="210" t="s">
        <v>132</v>
      </c>
      <c r="C178" s="210"/>
      <c r="D178" s="55">
        <v>0</v>
      </c>
      <c r="E178" s="55">
        <f>F178-D178</f>
        <v>50510</v>
      </c>
      <c r="F178" s="55">
        <f>F181+F182</f>
        <v>50510</v>
      </c>
      <c r="G178" s="55">
        <f>H178-F178</f>
        <v>0</v>
      </c>
      <c r="H178" s="55">
        <f>H179</f>
        <v>50510</v>
      </c>
      <c r="I178" s="150">
        <f>H178/F178</f>
        <v>1</v>
      </c>
    </row>
    <row r="179" spans="1:9" x14ac:dyDescent="0.2">
      <c r="B179" s="211" t="s">
        <v>105</v>
      </c>
      <c r="C179" s="211"/>
      <c r="D179" s="56">
        <v>0</v>
      </c>
      <c r="E179" s="56">
        <f t="shared" ref="E179:E180" si="67">F179-D179</f>
        <v>50510</v>
      </c>
      <c r="F179" s="56">
        <f>F180</f>
        <v>50510</v>
      </c>
      <c r="G179" s="56">
        <f>H179-F179</f>
        <v>0</v>
      </c>
      <c r="H179" s="56">
        <f>H180</f>
        <v>50510</v>
      </c>
      <c r="I179" s="151">
        <f>H179/F179</f>
        <v>1</v>
      </c>
    </row>
    <row r="180" spans="1:9" x14ac:dyDescent="0.2">
      <c r="B180" s="211" t="s">
        <v>125</v>
      </c>
      <c r="C180" s="211"/>
      <c r="D180" s="56">
        <v>0</v>
      </c>
      <c r="E180" s="56">
        <f t="shared" si="67"/>
        <v>50510</v>
      </c>
      <c r="F180" s="56">
        <f>F181+F182</f>
        <v>50510</v>
      </c>
      <c r="G180" s="56">
        <f t="shared" ref="G180:G182" si="68">H180-F180</f>
        <v>0</v>
      </c>
      <c r="H180" s="56">
        <f>H181+H182</f>
        <v>50510</v>
      </c>
      <c r="I180" s="151">
        <f t="shared" ref="I180:I182" si="69">H180/F180</f>
        <v>1</v>
      </c>
    </row>
    <row r="181" spans="1:9" x14ac:dyDescent="0.2">
      <c r="B181" s="51" t="s">
        <v>107</v>
      </c>
      <c r="C181" s="51" t="s">
        <v>25</v>
      </c>
      <c r="D181" s="56">
        <v>0</v>
      </c>
      <c r="E181" s="56">
        <f>F181-D181</f>
        <v>47990</v>
      </c>
      <c r="F181" s="56">
        <v>47990</v>
      </c>
      <c r="G181" s="56">
        <f t="shared" si="68"/>
        <v>0</v>
      </c>
      <c r="H181" s="56">
        <v>47990</v>
      </c>
      <c r="I181" s="151">
        <f t="shared" si="69"/>
        <v>1</v>
      </c>
    </row>
    <row r="182" spans="1:9" x14ac:dyDescent="0.2">
      <c r="B182" s="147">
        <v>32</v>
      </c>
      <c r="C182" s="51" t="s">
        <v>35</v>
      </c>
      <c r="D182" s="56">
        <v>0</v>
      </c>
      <c r="E182" s="56">
        <f>F182-D182</f>
        <v>2520</v>
      </c>
      <c r="F182" s="56">
        <v>2520</v>
      </c>
      <c r="G182" s="56">
        <f t="shared" si="68"/>
        <v>0</v>
      </c>
      <c r="H182" s="56">
        <v>2520</v>
      </c>
      <c r="I182" s="151">
        <f t="shared" si="69"/>
        <v>1</v>
      </c>
    </row>
    <row r="183" spans="1:9" s="164" customFormat="1" x14ac:dyDescent="0.2">
      <c r="A183" s="172"/>
      <c r="I183" s="166"/>
    </row>
    <row r="184" spans="1:9" s="164" customFormat="1" x14ac:dyDescent="0.2">
      <c r="A184" s="172"/>
      <c r="I184" s="166"/>
    </row>
    <row r="185" spans="1:9" s="164" customFormat="1" x14ac:dyDescent="0.2">
      <c r="A185" s="172"/>
      <c r="B185" s="164" t="s">
        <v>136</v>
      </c>
      <c r="F185" s="169"/>
      <c r="G185" s="169"/>
      <c r="H185" s="219" t="s">
        <v>138</v>
      </c>
      <c r="I185" s="219"/>
    </row>
    <row r="186" spans="1:9" s="164" customFormat="1" x14ac:dyDescent="0.2">
      <c r="A186" s="172"/>
      <c r="H186" s="165" t="s">
        <v>139</v>
      </c>
      <c r="I186" s="81"/>
    </row>
    <row r="187" spans="1:9" s="164" customFormat="1" x14ac:dyDescent="0.2">
      <c r="A187" s="172"/>
      <c r="F187" s="165"/>
      <c r="G187" s="165"/>
      <c r="H187" s="165"/>
      <c r="I187" s="165"/>
    </row>
  </sheetData>
  <mergeCells count="113">
    <mergeCell ref="H185:I185"/>
    <mergeCell ref="B180:C180"/>
    <mergeCell ref="B171:C171"/>
    <mergeCell ref="B177:C177"/>
    <mergeCell ref="B172:C172"/>
    <mergeCell ref="B173:C173"/>
    <mergeCell ref="B174:C174"/>
    <mergeCell ref="B178:C178"/>
    <mergeCell ref="B179:C179"/>
    <mergeCell ref="B86:C86"/>
    <mergeCell ref="B87:C87"/>
    <mergeCell ref="B72:C72"/>
    <mergeCell ref="B73:C73"/>
    <mergeCell ref="B74:C74"/>
    <mergeCell ref="B76:C76"/>
    <mergeCell ref="B78:C78"/>
    <mergeCell ref="B79:C79"/>
    <mergeCell ref="B80:C80"/>
    <mergeCell ref="B89:C89"/>
    <mergeCell ref="B90:C90"/>
    <mergeCell ref="B91:C91"/>
    <mergeCell ref="B96:C96"/>
    <mergeCell ref="B97:C97"/>
    <mergeCell ref="B98:C98"/>
    <mergeCell ref="B169:C169"/>
    <mergeCell ref="B1:I1"/>
    <mergeCell ref="B2:I2"/>
    <mergeCell ref="B4:C6"/>
    <mergeCell ref="F4:F5"/>
    <mergeCell ref="I4:I5"/>
    <mergeCell ref="B43:C43"/>
    <mergeCell ref="B46:C46"/>
    <mergeCell ref="B48:C48"/>
    <mergeCell ref="B49:C49"/>
    <mergeCell ref="B36:C36"/>
    <mergeCell ref="B37:C37"/>
    <mergeCell ref="B38:C38"/>
    <mergeCell ref="B39:C39"/>
    <mergeCell ref="B40:C40"/>
    <mergeCell ref="B41:C41"/>
    <mergeCell ref="B42:C42"/>
    <mergeCell ref="B7:C7"/>
    <mergeCell ref="B8:C8"/>
    <mergeCell ref="B9:C9"/>
    <mergeCell ref="B10:C10"/>
    <mergeCell ref="B11:C11"/>
    <mergeCell ref="B17:C17"/>
    <mergeCell ref="B13:C13"/>
    <mergeCell ref="B19:C19"/>
    <mergeCell ref="B15:C15"/>
    <mergeCell ref="B71:C71"/>
    <mergeCell ref="B67:C67"/>
    <mergeCell ref="B24:C24"/>
    <mergeCell ref="B26:C26"/>
    <mergeCell ref="B28:C28"/>
    <mergeCell ref="B30:C30"/>
    <mergeCell ref="B32:C32"/>
    <mergeCell ref="B35:C35"/>
    <mergeCell ref="B50:C50"/>
    <mergeCell ref="B55:C55"/>
    <mergeCell ref="B59:C59"/>
    <mergeCell ref="B60:C60"/>
    <mergeCell ref="B61:C61"/>
    <mergeCell ref="B65:C65"/>
    <mergeCell ref="B66:C66"/>
    <mergeCell ref="B168:C168"/>
    <mergeCell ref="B109:C109"/>
    <mergeCell ref="B134:C134"/>
    <mergeCell ref="B135:C135"/>
    <mergeCell ref="B101:C101"/>
    <mergeCell ref="B136:C136"/>
    <mergeCell ref="B112:C112"/>
    <mergeCell ref="B113:C113"/>
    <mergeCell ref="B114:C114"/>
    <mergeCell ref="B117:C117"/>
    <mergeCell ref="B118:C118"/>
    <mergeCell ref="B119:C119"/>
    <mergeCell ref="B122:C122"/>
    <mergeCell ref="B123:C123"/>
    <mergeCell ref="B124:C124"/>
    <mergeCell ref="B157:C157"/>
    <mergeCell ref="B158:C158"/>
    <mergeCell ref="B141:C141"/>
    <mergeCell ref="B142:C142"/>
    <mergeCell ref="B145:C145"/>
    <mergeCell ref="B146:C146"/>
    <mergeCell ref="B147:C147"/>
    <mergeCell ref="B155:C155"/>
    <mergeCell ref="B156:C156"/>
    <mergeCell ref="H4:H5"/>
    <mergeCell ref="G4:G5"/>
    <mergeCell ref="B150:C150"/>
    <mergeCell ref="B151:C151"/>
    <mergeCell ref="B152:C152"/>
    <mergeCell ref="B162:C162"/>
    <mergeCell ref="B163:C163"/>
    <mergeCell ref="B164:C164"/>
    <mergeCell ref="B167:C167"/>
    <mergeCell ref="B83:C83"/>
    <mergeCell ref="D4:D5"/>
    <mergeCell ref="E4:E5"/>
    <mergeCell ref="B125:C125"/>
    <mergeCell ref="B128:C128"/>
    <mergeCell ref="B129:C129"/>
    <mergeCell ref="B130:C130"/>
    <mergeCell ref="B131:C131"/>
    <mergeCell ref="B139:C139"/>
    <mergeCell ref="B140:C140"/>
    <mergeCell ref="B102:C102"/>
    <mergeCell ref="B103:C103"/>
    <mergeCell ref="B104:C104"/>
    <mergeCell ref="B107:C107"/>
    <mergeCell ref="B108:C108"/>
  </mergeCells>
  <pageMargins left="0.7" right="0.7" top="0.75" bottom="0.75" header="0.3" footer="0.3"/>
  <pageSetup paperSize="9" orientation="landscape" r:id="rId1"/>
  <headerFooter>
    <oddHeader>&amp;L&amp;"Arial,Uobičajeno"&amp;8ZAVOD ZA HITNU MEDICINU SPLITSKO-DALMATINSKE ŽUPANIJE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Saša Miškulin</cp:lastModifiedBy>
  <cp:lastPrinted>2023-09-12T12:16:07Z</cp:lastPrinted>
  <dcterms:created xsi:type="dcterms:W3CDTF">2022-08-12T12:51:27Z</dcterms:created>
  <dcterms:modified xsi:type="dcterms:W3CDTF">2023-09-12T16:26:06Z</dcterms:modified>
</cp:coreProperties>
</file>